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9040" windowHeight="15840"/>
  </bookViews>
  <sheets>
    <sheet name="kredyty na 2023" sheetId="1" r:id="rId1"/>
  </sheets>
  <definedNames>
    <definedName name="_xlnm.Print_Area" localSheetId="0">'kredyty na 2023'!$A$9:$CJ$171</definedName>
    <definedName name="_xlnm.Print_Titles" localSheetId="0">'kredyty na 2023'!$11:$11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68" i="1"/>
  <c r="J163"/>
  <c r="J165" s="1"/>
  <c r="J150"/>
  <c r="AX149"/>
  <c r="AW149"/>
  <c r="AV149"/>
  <c r="AU149"/>
  <c r="AT149"/>
  <c r="AS149"/>
  <c r="AR149"/>
  <c r="AQ149"/>
  <c r="AP149"/>
  <c r="AO149"/>
  <c r="AN149"/>
  <c r="AM149"/>
  <c r="AL149"/>
  <c r="AK149"/>
  <c r="AJ149"/>
  <c r="AI149"/>
  <c r="AH149"/>
  <c r="AG149"/>
  <c r="AF149"/>
  <c r="AD149"/>
  <c r="AC149"/>
  <c r="AB149"/>
  <c r="AA149"/>
  <c r="Z149"/>
  <c r="Y149"/>
  <c r="X149"/>
  <c r="V149"/>
  <c r="J149"/>
  <c r="BK148"/>
  <c r="BK147"/>
  <c r="W147"/>
  <c r="J147"/>
  <c r="AS145"/>
  <c r="AR145"/>
  <c r="AQ145"/>
  <c r="AP145"/>
  <c r="AO145"/>
  <c r="AN145"/>
  <c r="AM145"/>
  <c r="AL145"/>
  <c r="AK145"/>
  <c r="AJ145"/>
  <c r="AI145"/>
  <c r="AH145"/>
  <c r="AG145"/>
  <c r="AF145"/>
  <c r="AD145"/>
  <c r="AC145"/>
  <c r="AB145"/>
  <c r="AA145"/>
  <c r="Z145"/>
  <c r="Y145"/>
  <c r="X145"/>
  <c r="W145"/>
  <c r="V145"/>
  <c r="U145"/>
  <c r="T145"/>
  <c r="S145"/>
  <c r="J145"/>
  <c r="J124"/>
  <c r="J120"/>
  <c r="J108"/>
  <c r="J107"/>
  <c r="J106"/>
  <c r="X104"/>
  <c r="U104"/>
  <c r="AS100"/>
  <c r="AQ100"/>
  <c r="AO100"/>
  <c r="AN100"/>
  <c r="AM100"/>
  <c r="AL100"/>
  <c r="AK100"/>
  <c r="AJ100"/>
  <c r="AI100"/>
  <c r="AH100"/>
  <c r="AG100"/>
  <c r="AF100"/>
  <c r="AD100"/>
  <c r="AC100"/>
  <c r="AA100"/>
  <c r="Z100"/>
  <c r="X100"/>
  <c r="W100"/>
  <c r="U100"/>
  <c r="T100"/>
  <c r="S100"/>
  <c r="AS99"/>
  <c r="AQ99"/>
  <c r="AO99"/>
  <c r="AN99"/>
  <c r="AM99"/>
  <c r="AL99"/>
  <c r="AK99"/>
  <c r="AJ99"/>
  <c r="AI99"/>
  <c r="AH99"/>
  <c r="AG99"/>
  <c r="AF99"/>
  <c r="AD99"/>
  <c r="AC99"/>
  <c r="AA99"/>
  <c r="Z99"/>
  <c r="X99"/>
  <c r="W99"/>
  <c r="U99"/>
  <c r="T99"/>
  <c r="S99"/>
  <c r="R99"/>
  <c r="O99"/>
  <c r="N99"/>
  <c r="M99"/>
  <c r="CG98"/>
  <c r="CE98"/>
  <c r="CC98"/>
  <c r="CA98"/>
  <c r="BY98"/>
  <c r="BW98"/>
  <c r="BU98"/>
  <c r="BS98"/>
  <c r="BQ98"/>
  <c r="BN98"/>
  <c r="BH98"/>
  <c r="CG97"/>
  <c r="CE97"/>
  <c r="CC97"/>
  <c r="CA97"/>
  <c r="BY97"/>
  <c r="BW97"/>
  <c r="BU97"/>
  <c r="BS97"/>
  <c r="BH97"/>
  <c r="CG96"/>
  <c r="CG99" s="1"/>
  <c r="CE96"/>
  <c r="CC96"/>
  <c r="CA96"/>
  <c r="BY96"/>
  <c r="BY99" s="1"/>
  <c r="BW96"/>
  <c r="BU96"/>
  <c r="BS96"/>
  <c r="BQ96"/>
  <c r="BQ99" s="1"/>
  <c r="BN96"/>
  <c r="BK96"/>
  <c r="BH96"/>
  <c r="AS94"/>
  <c r="AQ94"/>
  <c r="AO94"/>
  <c r="AN94"/>
  <c r="AM94"/>
  <c r="AL94"/>
  <c r="AK94"/>
  <c r="AJ94"/>
  <c r="AI94"/>
  <c r="AH94"/>
  <c r="AG94"/>
  <c r="AF94"/>
  <c r="AD94"/>
  <c r="AC94"/>
  <c r="AA94"/>
  <c r="Z94"/>
  <c r="X94"/>
  <c r="W94"/>
  <c r="U94"/>
  <c r="T94"/>
  <c r="S94"/>
  <c r="AS92"/>
  <c r="AQ92"/>
  <c r="AO92"/>
  <c r="AN92"/>
  <c r="AL92"/>
  <c r="AJ92"/>
  <c r="AH92"/>
  <c r="AF92"/>
  <c r="AC92"/>
  <c r="Z92"/>
  <c r="X92"/>
  <c r="W92"/>
  <c r="U92"/>
  <c r="T92"/>
  <c r="S92"/>
  <c r="BH91"/>
  <c r="BH90"/>
  <c r="BH89"/>
  <c r="BE88"/>
  <c r="U86"/>
  <c r="CG84"/>
  <c r="CE84"/>
  <c r="CC84"/>
  <c r="CA84"/>
  <c r="BY84"/>
  <c r="BW84"/>
  <c r="BU84"/>
  <c r="BS84"/>
  <c r="BQ84"/>
  <c r="BN84"/>
  <c r="BH84"/>
  <c r="BH85" s="1"/>
  <c r="CG83"/>
  <c r="CE83"/>
  <c r="CC83"/>
  <c r="CA83"/>
  <c r="BY83"/>
  <c r="BW83"/>
  <c r="BU83"/>
  <c r="BS83"/>
  <c r="BQ83"/>
  <c r="BN83"/>
  <c r="BK83"/>
  <c r="BH83"/>
  <c r="BH87" s="1"/>
  <c r="AN83"/>
  <c r="AL83"/>
  <c r="AJ83"/>
  <c r="AH83"/>
  <c r="S83"/>
  <c r="O83"/>
  <c r="N83"/>
  <c r="CJ80"/>
  <c r="CI80"/>
  <c r="CH80"/>
  <c r="CG80"/>
  <c r="CF80"/>
  <c r="CE80"/>
  <c r="CD80"/>
  <c r="CC80"/>
  <c r="CB80"/>
  <c r="CA80"/>
  <c r="BZ80"/>
  <c r="BY80"/>
  <c r="BX80"/>
  <c r="BW80"/>
  <c r="BV80"/>
  <c r="BU80"/>
  <c r="BT80"/>
  <c r="BS80"/>
  <c r="BR80"/>
  <c r="BQ80"/>
  <c r="BP80"/>
  <c r="BO80"/>
  <c r="BN80"/>
  <c r="BM80"/>
  <c r="BJ80"/>
  <c r="BI80"/>
  <c r="BD80"/>
  <c r="BC80"/>
  <c r="BB80"/>
  <c r="BA80"/>
  <c r="AZ80"/>
  <c r="AY80"/>
  <c r="AE80"/>
  <c r="H80"/>
  <c r="J79"/>
  <c r="H79" s="1"/>
  <c r="J78"/>
  <c r="H78" s="1"/>
  <c r="J77"/>
  <c r="H77" s="1"/>
  <c r="AW76"/>
  <c r="AU76"/>
  <c r="AS76"/>
  <c r="AQ76"/>
  <c r="AO76"/>
  <c r="AM76"/>
  <c r="AK76"/>
  <c r="AI76"/>
  <c r="AG76"/>
  <c r="I76"/>
  <c r="AK75"/>
  <c r="AI75"/>
  <c r="AG75"/>
  <c r="AD75"/>
  <c r="AA75"/>
  <c r="AB72"/>
  <c r="AB80" s="1"/>
  <c r="J72"/>
  <c r="H72" s="1"/>
  <c r="J71"/>
  <c r="AX70"/>
  <c r="AV70"/>
  <c r="AT70"/>
  <c r="AR70"/>
  <c r="AP70"/>
  <c r="AN70"/>
  <c r="AL70"/>
  <c r="AJ70"/>
  <c r="AH70"/>
  <c r="AF70"/>
  <c r="K70"/>
  <c r="J70"/>
  <c r="J155" s="1"/>
  <c r="L159" s="1"/>
  <c r="AX69"/>
  <c r="AX80" s="1"/>
  <c r="AV69"/>
  <c r="AT69"/>
  <c r="AR69"/>
  <c r="AP69"/>
  <c r="AN69"/>
  <c r="AL69"/>
  <c r="AJ69"/>
  <c r="AH69"/>
  <c r="AF69"/>
  <c r="J69"/>
  <c r="J153" s="1"/>
  <c r="AW67"/>
  <c r="AU67"/>
  <c r="AS67"/>
  <c r="AQ67"/>
  <c r="AO67"/>
  <c r="AM67"/>
  <c r="AK67"/>
  <c r="AI67"/>
  <c r="AG67"/>
  <c r="AD67"/>
  <c r="J67"/>
  <c r="K66"/>
  <c r="J151" s="1"/>
  <c r="H65"/>
  <c r="BF64"/>
  <c r="BE64"/>
  <c r="AW63"/>
  <c r="AU63"/>
  <c r="AS63"/>
  <c r="AQ63"/>
  <c r="AO63"/>
  <c r="AM63"/>
  <c r="AK63"/>
  <c r="AI63"/>
  <c r="AG63"/>
  <c r="AD63"/>
  <c r="H63"/>
  <c r="H62"/>
  <c r="J61"/>
  <c r="H61"/>
  <c r="H60"/>
  <c r="H59"/>
  <c r="I59" s="1"/>
  <c r="H58"/>
  <c r="I58" s="1"/>
  <c r="J57"/>
  <c r="H57"/>
  <c r="J55"/>
  <c r="BF52"/>
  <c r="BE52"/>
  <c r="J52"/>
  <c r="H52"/>
  <c r="K51"/>
  <c r="BE50"/>
  <c r="K50"/>
  <c r="BE49"/>
  <c r="K49"/>
  <c r="BE48"/>
  <c r="K48"/>
  <c r="BL47"/>
  <c r="BL80" s="1"/>
  <c r="BF47"/>
  <c r="K47"/>
  <c r="I47"/>
  <c r="H47"/>
  <c r="BF46"/>
  <c r="BE46"/>
  <c r="K46"/>
  <c r="I46"/>
  <c r="H46"/>
  <c r="BK45"/>
  <c r="R45"/>
  <c r="R145" s="1"/>
  <c r="AM44"/>
  <c r="AK44"/>
  <c r="AK92" s="1"/>
  <c r="AI44"/>
  <c r="AG44"/>
  <c r="AG92" s="1"/>
  <c r="AD44"/>
  <c r="AD92" s="1"/>
  <c r="AA44"/>
  <c r="AA92" s="1"/>
  <c r="BF43"/>
  <c r="H43"/>
  <c r="R42"/>
  <c r="R41"/>
  <c r="BF41" s="1"/>
  <c r="BF40"/>
  <c r="H40"/>
  <c r="AO39"/>
  <c r="AO83" s="1"/>
  <c r="AM39"/>
  <c r="AK39"/>
  <c r="AI39"/>
  <c r="AG39"/>
  <c r="AF39"/>
  <c r="AF83" s="1"/>
  <c r="AD39"/>
  <c r="AC39"/>
  <c r="AC83" s="1"/>
  <c r="AA39"/>
  <c r="Z39"/>
  <c r="Z83" s="1"/>
  <c r="X39"/>
  <c r="X83" s="1"/>
  <c r="W39"/>
  <c r="W83" s="1"/>
  <c r="U39"/>
  <c r="U83" s="1"/>
  <c r="T39"/>
  <c r="T83" s="1"/>
  <c r="M39"/>
  <c r="M83" s="1"/>
  <c r="AV37"/>
  <c r="O37"/>
  <c r="O81" s="1"/>
  <c r="M37"/>
  <c r="M81" s="1"/>
  <c r="I37"/>
  <c r="BF36"/>
  <c r="BE36"/>
  <c r="Q36"/>
  <c r="BF35"/>
  <c r="BE35"/>
  <c r="Q35"/>
  <c r="BF34"/>
  <c r="BE34"/>
  <c r="Q34"/>
  <c r="BF33"/>
  <c r="BE33"/>
  <c r="Q33"/>
  <c r="BF32"/>
  <c r="BE32"/>
  <c r="Q32"/>
  <c r="BF31"/>
  <c r="BE31"/>
  <c r="Q31"/>
  <c r="BF30"/>
  <c r="BE30"/>
  <c r="Q30"/>
  <c r="BF29"/>
  <c r="BE29"/>
  <c r="Q29"/>
  <c r="BF28"/>
  <c r="BE28"/>
  <c r="Q28"/>
  <c r="BF27"/>
  <c r="BE27"/>
  <c r="Q27"/>
  <c r="BF26"/>
  <c r="BE26"/>
  <c r="Q26"/>
  <c r="BF25"/>
  <c r="BE25"/>
  <c r="Q25"/>
  <c r="U24"/>
  <c r="R24"/>
  <c r="Q24"/>
  <c r="AG23"/>
  <c r="AD23"/>
  <c r="AA23"/>
  <c r="X23"/>
  <c r="U23"/>
  <c r="BF22"/>
  <c r="BE22"/>
  <c r="Q22"/>
  <c r="BF21"/>
  <c r="BE21"/>
  <c r="Q21"/>
  <c r="BE20"/>
  <c r="AL20"/>
  <c r="AJ20"/>
  <c r="AH20"/>
  <c r="AF20"/>
  <c r="AC20"/>
  <c r="Z20"/>
  <c r="T20"/>
  <c r="W20" s="1"/>
  <c r="Q20"/>
  <c r="N37"/>
  <c r="BH80"/>
  <c r="AM19"/>
  <c r="AK19"/>
  <c r="AI19"/>
  <c r="AG19"/>
  <c r="AD19"/>
  <c r="AA19"/>
  <c r="W19"/>
  <c r="U19"/>
  <c r="T19"/>
  <c r="S19"/>
  <c r="R19"/>
  <c r="R18"/>
  <c r="V18"/>
  <c r="V37" s="1"/>
  <c r="V80" s="1"/>
  <c r="AS18"/>
  <c r="AQ18"/>
  <c r="AO18"/>
  <c r="AN18"/>
  <c r="AM18"/>
  <c r="AL18"/>
  <c r="AK18"/>
  <c r="AJ18"/>
  <c r="AI18"/>
  <c r="AH18"/>
  <c r="AG18"/>
  <c r="AF18"/>
  <c r="AD18"/>
  <c r="AC18"/>
  <c r="AA18"/>
  <c r="Z18"/>
  <c r="Y18"/>
  <c r="W18"/>
  <c r="S18"/>
  <c r="Q17"/>
  <c r="K17"/>
  <c r="AW16"/>
  <c r="AU16"/>
  <c r="AT16"/>
  <c r="AT37" s="1"/>
  <c r="AR16"/>
  <c r="AR37" s="1"/>
  <c r="AP16"/>
  <c r="AP37" s="1"/>
  <c r="AN16"/>
  <c r="AL16"/>
  <c r="AJ16"/>
  <c r="AH16"/>
  <c r="AF16"/>
  <c r="AC16"/>
  <c r="Z16"/>
  <c r="AW15"/>
  <c r="AU15"/>
  <c r="AS15"/>
  <c r="AQ15"/>
  <c r="AO15"/>
  <c r="AM15"/>
  <c r="AK15"/>
  <c r="AI15"/>
  <c r="AG15"/>
  <c r="AD15"/>
  <c r="AA15"/>
  <c r="X15"/>
  <c r="Z14"/>
  <c r="AU14"/>
  <c r="AS14"/>
  <c r="AQ14"/>
  <c r="AO14"/>
  <c r="AM14"/>
  <c r="AK14"/>
  <c r="AI14"/>
  <c r="AG14"/>
  <c r="AD14"/>
  <c r="AA14"/>
  <c r="N9"/>
  <c r="BF8"/>
  <c r="AC8"/>
  <c r="Y8"/>
  <c r="N8"/>
  <c r="M8"/>
  <c r="AM16" l="1"/>
  <c r="BH93"/>
  <c r="L99"/>
  <c r="Y16"/>
  <c r="BU87"/>
  <c r="W37"/>
  <c r="W80" s="1"/>
  <c r="AG16"/>
  <c r="AG37" s="1"/>
  <c r="AG81" s="1"/>
  <c r="AO16"/>
  <c r="AO37" s="1"/>
  <c r="AO81" s="1"/>
  <c r="BS99"/>
  <c r="CA99"/>
  <c r="J158"/>
  <c r="J160" s="1"/>
  <c r="AP80"/>
  <c r="M9"/>
  <c r="Q23"/>
  <c r="AA83"/>
  <c r="AG83"/>
  <c r="K63"/>
  <c r="I63" s="1"/>
  <c r="CC87"/>
  <c r="W8"/>
  <c r="AA8"/>
  <c r="AC37"/>
  <c r="AC80" s="1"/>
  <c r="AL37"/>
  <c r="AL81" s="1"/>
  <c r="H67"/>
  <c r="AR80"/>
  <c r="BH92"/>
  <c r="BH99"/>
  <c r="S37"/>
  <c r="S81" s="1"/>
  <c r="Q19"/>
  <c r="K15"/>
  <c r="AU37"/>
  <c r="AU80" s="1"/>
  <c r="H41"/>
  <c r="J99"/>
  <c r="BQ87"/>
  <c r="BY87"/>
  <c r="CG87"/>
  <c r="BW99"/>
  <c r="CE99"/>
  <c r="BF63"/>
  <c r="AN37"/>
  <c r="AN81" s="1"/>
  <c r="BF23"/>
  <c r="BE24"/>
  <c r="BF67"/>
  <c r="AI16"/>
  <c r="AI37" s="1"/>
  <c r="AI81" s="1"/>
  <c r="AQ16"/>
  <c r="AQ37" s="1"/>
  <c r="AQ80" s="1"/>
  <c r="AA16"/>
  <c r="AA37" s="1"/>
  <c r="AA80" s="1"/>
  <c r="BF24"/>
  <c r="R39"/>
  <c r="R83" s="1"/>
  <c r="AK83"/>
  <c r="BK47"/>
  <c r="BK80" s="1"/>
  <c r="BK145" s="1"/>
  <c r="AV80"/>
  <c r="BU99"/>
  <c r="CC99"/>
  <c r="J109"/>
  <c r="J110" s="1"/>
  <c r="W150"/>
  <c r="AT80"/>
  <c r="K45"/>
  <c r="K83" s="1"/>
  <c r="BN87"/>
  <c r="BW87"/>
  <c r="CE87"/>
  <c r="J121"/>
  <c r="H56"/>
  <c r="J75"/>
  <c r="BS87"/>
  <c r="CA87"/>
  <c r="R87"/>
  <c r="R94"/>
  <c r="N94" s="1"/>
  <c r="BN99"/>
  <c r="BH94"/>
  <c r="N81"/>
  <c r="N80"/>
  <c r="AW14"/>
  <c r="AW37" s="1"/>
  <c r="AW80" s="1"/>
  <c r="BF19"/>
  <c r="R37"/>
  <c r="Q15"/>
  <c r="AK16"/>
  <c r="AK37" s="1"/>
  <c r="AS16"/>
  <c r="AS37" s="1"/>
  <c r="AS80" s="1"/>
  <c r="X18"/>
  <c r="Q18" s="1"/>
  <c r="Q9" s="1"/>
  <c r="T37"/>
  <c r="AF37"/>
  <c r="G40"/>
  <c r="AD83"/>
  <c r="BF42"/>
  <c r="R92"/>
  <c r="H42"/>
  <c r="H44"/>
  <c r="AI92"/>
  <c r="AI83"/>
  <c r="BM145"/>
  <c r="J148"/>
  <c r="BE63"/>
  <c r="J122"/>
  <c r="J125"/>
  <c r="AB148"/>
  <c r="AJ37"/>
  <c r="Z37"/>
  <c r="BF44"/>
  <c r="AM92"/>
  <c r="AM83"/>
  <c r="Y14"/>
  <c r="X16"/>
  <c r="AD16"/>
  <c r="AD37" s="1"/>
  <c r="AH37"/>
  <c r="BE23"/>
  <c r="AM37"/>
  <c r="J146"/>
  <c r="H146" s="1"/>
  <c r="K67"/>
  <c r="I67" s="1"/>
  <c r="J76"/>
  <c r="J115" s="1"/>
  <c r="H64"/>
  <c r="G81" s="1"/>
  <c r="O80"/>
  <c r="O82" s="1"/>
  <c r="M80"/>
  <c r="M82" s="1"/>
  <c r="R100"/>
  <c r="L100" s="1"/>
  <c r="Y37" l="1"/>
  <c r="I99"/>
  <c r="AN80"/>
  <c r="AN82" s="1"/>
  <c r="W81"/>
  <c r="W82" s="1"/>
  <c r="AL80"/>
  <c r="AL82" s="1"/>
  <c r="AO80"/>
  <c r="AO82" s="1"/>
  <c r="L101"/>
  <c r="L102" s="1"/>
  <c r="AC81"/>
  <c r="AC82" s="1"/>
  <c r="S80"/>
  <c r="S82" s="1"/>
  <c r="L158"/>
  <c r="Q38"/>
  <c r="AA81"/>
  <c r="AA82" s="1"/>
  <c r="BK146"/>
  <c r="M87"/>
  <c r="K38"/>
  <c r="BK98"/>
  <c r="BK99" s="1"/>
  <c r="AG80"/>
  <c r="AG82" s="1"/>
  <c r="AI80"/>
  <c r="AI82" s="1"/>
  <c r="U18"/>
  <c r="U37" s="1"/>
  <c r="L9"/>
  <c r="BK84"/>
  <c r="BK87" s="1"/>
  <c r="H49"/>
  <c r="H76"/>
  <c r="G44"/>
  <c r="G43" s="1"/>
  <c r="D88"/>
  <c r="J123"/>
  <c r="J127" s="1"/>
  <c r="H75"/>
  <c r="AD81"/>
  <c r="AD80"/>
  <c r="AJ81"/>
  <c r="AJ80"/>
  <c r="BE85"/>
  <c r="BE84"/>
  <c r="H106"/>
  <c r="R81"/>
  <c r="R80"/>
  <c r="AK81"/>
  <c r="AK80"/>
  <c r="AL38"/>
  <c r="AA117"/>
  <c r="Y80"/>
  <c r="Y115"/>
  <c r="Y117" s="1"/>
  <c r="T80"/>
  <c r="T81"/>
  <c r="Q16"/>
  <c r="AF80"/>
  <c r="AF81"/>
  <c r="H108"/>
  <c r="AH80"/>
  <c r="AH81"/>
  <c r="K16"/>
  <c r="K9"/>
  <c r="K14"/>
  <c r="X14"/>
  <c r="Z81"/>
  <c r="Z80"/>
  <c r="N82"/>
  <c r="AM81"/>
  <c r="AM80"/>
  <c r="V9" l="1"/>
  <c r="U81"/>
  <c r="U80"/>
  <c r="K18"/>
  <c r="AJ82"/>
  <c r="Z82"/>
  <c r="AD82"/>
  <c r="AM82"/>
  <c r="AK82"/>
  <c r="R82"/>
  <c r="AH82"/>
  <c r="Q14"/>
  <c r="L14"/>
  <c r="AF82"/>
  <c r="T82"/>
  <c r="X37"/>
  <c r="U82" l="1"/>
  <c r="U102"/>
  <c r="U106" s="1"/>
  <c r="X81"/>
  <c r="Y38"/>
  <c r="AN38" s="1"/>
  <c r="X80"/>
  <c r="Q37"/>
  <c r="H107"/>
  <c r="H109" s="1"/>
  <c r="H110" s="1"/>
  <c r="L37"/>
  <c r="X102" l="1"/>
  <c r="X106" s="1"/>
  <c r="X82"/>
  <c r="J80"/>
  <c r="M90"/>
  <c r="R90" s="1"/>
  <c r="U90" s="1"/>
  <c r="X90" s="1"/>
  <c r="AA90" s="1"/>
  <c r="I38"/>
</calcChain>
</file>

<file path=xl/sharedStrings.xml><?xml version="1.0" encoding="utf-8"?>
<sst xmlns="http://schemas.openxmlformats.org/spreadsheetml/2006/main" count="307" uniqueCount="231">
  <si>
    <t>spłaty na dzien 17.12.2019</t>
  </si>
  <si>
    <t>Zestawienie kredytów</t>
  </si>
  <si>
    <t>spłaty kredytu</t>
  </si>
  <si>
    <t>odsetki</t>
  </si>
  <si>
    <t>Lp.</t>
  </si>
  <si>
    <t>Przeznaczenie kredytu</t>
  </si>
  <si>
    <t>nr umowy</t>
  </si>
  <si>
    <t>Nazwa banku</t>
  </si>
  <si>
    <t>Oprocentowanie</t>
  </si>
  <si>
    <t>Kwota z umowy</t>
  </si>
  <si>
    <t>aktualne zadłużenie</t>
  </si>
  <si>
    <t>okres obowiązywania umowy</t>
  </si>
  <si>
    <t>miesięczne obciążenie</t>
  </si>
  <si>
    <t>ostateczny termin spłaty</t>
  </si>
  <si>
    <t>2019 (5.1.1.1)</t>
  </si>
  <si>
    <t>2019 (5.1.1.2)</t>
  </si>
  <si>
    <t>aktualne zadł</t>
  </si>
  <si>
    <t>2020 (5.1.1.1)</t>
  </si>
  <si>
    <t>2020 (5.1.1.2)</t>
  </si>
  <si>
    <t>2021(5.1.1.2)</t>
  </si>
  <si>
    <t>2022(5.1.1.2)</t>
  </si>
  <si>
    <t>2023 (5.1.1.1)</t>
  </si>
  <si>
    <t>2023(5.1.1.2)</t>
  </si>
  <si>
    <t>2024 (5.1.1.1)</t>
  </si>
  <si>
    <t>2024(5.1.1.2)</t>
  </si>
  <si>
    <t>2025(5.1.1.2)</t>
  </si>
  <si>
    <t>2026(5.1.1.2)</t>
  </si>
  <si>
    <t>2027(5.1.1.2)</t>
  </si>
  <si>
    <t>2028(5.1.1.2)</t>
  </si>
  <si>
    <t>2029(5.1.1.2)</t>
  </si>
  <si>
    <t>2030(5.1.1.2)</t>
  </si>
  <si>
    <t>2031(5.1.1.2)</t>
  </si>
  <si>
    <t>2032(5.1.1.2)</t>
  </si>
  <si>
    <t>2033(5.1.1.2)</t>
  </si>
  <si>
    <t>odsetki od kwoty od roku 2020</t>
  </si>
  <si>
    <t>2020 (2.1.3.1)
UE</t>
  </si>
  <si>
    <t>2020 (2.1.3.2)
WK. WŁASNY DO UE</t>
  </si>
  <si>
    <t>2021 (2.1.3.1)
UE</t>
  </si>
  <si>
    <t>2021 (2.1.3.2) WK. WŁASNY DO UE</t>
  </si>
  <si>
    <t>2022 (2.1.3.1)
UE</t>
  </si>
  <si>
    <t>2022 (2.1.3.2) WK. WŁASNY DO UE</t>
  </si>
  <si>
    <t>2023 (2.1.3.2) WK. WŁASNY DO UE</t>
  </si>
  <si>
    <t>2024 (2.1.3.2) WK. WŁASNY DO UE</t>
  </si>
  <si>
    <t>2025 (2.1.3.2) WK. WŁASNY DO UE</t>
  </si>
  <si>
    <t>2026 (2.1.3.2) WK. WŁASNY DO UE</t>
  </si>
  <si>
    <t>2027 (2.1.3.2) WK. WŁASNY DO UE</t>
  </si>
  <si>
    <t>2028 (2.1.3.2) WK. WŁASNY DO UE</t>
  </si>
  <si>
    <t>2029 (2.1.3.2) WK. WŁASNY DO UE</t>
  </si>
  <si>
    <t>2030 (2.1.3.2) WK. WŁASNY DO UE</t>
  </si>
  <si>
    <t>2031 (2.1.3.2) WK. WŁASNY DO UE</t>
  </si>
  <si>
    <t>rok 2021 - fogr, podjazd do gops, boisko poliuretanowe, chodnik w czermnej dr powiatowa, przepust Swoszowa, piece węglowe</t>
  </si>
  <si>
    <t>Połaniec</t>
  </si>
  <si>
    <t>18.10.2021 - 31.12.2033</t>
  </si>
  <si>
    <t>rok 2021 - winda UG Szerzyny</t>
  </si>
  <si>
    <t>2/FD/2021</t>
  </si>
  <si>
    <t>Małopolska Agencja Rozwoju Regionalnego</t>
  </si>
  <si>
    <t>10.12.2021 - 01.12.2033</t>
  </si>
  <si>
    <t>PFRON  winda ug</t>
  </si>
  <si>
    <t>rok 2021 most, pszok, klasztorek, inwestycje</t>
  </si>
  <si>
    <t>5/2021/5500134/BG90</t>
  </si>
  <si>
    <t>Pieniński Bank Spółdzielczy</t>
  </si>
  <si>
    <t>WIBOR 1 M +0,79%</t>
  </si>
  <si>
    <t>16.04.2021 - 31.12.2033</t>
  </si>
  <si>
    <t>most</t>
  </si>
  <si>
    <t>pszok 2 - wyposażenie</t>
  </si>
  <si>
    <t>Rok 2020 - chodnik przy drodze powiatowej w Ołpinach</t>
  </si>
  <si>
    <t>515480/1/2020</t>
  </si>
  <si>
    <t>BS Pilzno</t>
  </si>
  <si>
    <t>WIBOR 1M +0,99%</t>
  </si>
  <si>
    <t>17.12.2020 - 31.12.2031</t>
  </si>
  <si>
    <t xml:space="preserve">Rok 2020 - wydatki inwestycyjne pszok, termomosernizacja most sala gimnastyczna w żurowej, inwestycje </t>
  </si>
  <si>
    <t>BGK Kraków</t>
  </si>
  <si>
    <t>WIBOR 1M +0,85%</t>
  </si>
  <si>
    <t>16.04.2020 - 31.12.2031</t>
  </si>
  <si>
    <t>pszok</t>
  </si>
  <si>
    <t>sala gimnastyczna</t>
  </si>
  <si>
    <t>Rok 2019 - wydatki inwestycyjne /pszok, altana i plac szerzyny inwestycje/</t>
  </si>
  <si>
    <t>515490/1/2019 z dnia 2.12.2019 r.</t>
  </si>
  <si>
    <t>WIBOR 1M+2,00%</t>
  </si>
  <si>
    <t>02.12.2019 - 31.12.2028</t>
  </si>
  <si>
    <t>wg. harmonogramu</t>
  </si>
  <si>
    <t>altana i plac szerzyny</t>
  </si>
  <si>
    <t>WIBOR 1M+0,80%</t>
  </si>
  <si>
    <t>wg harmonogramu</t>
  </si>
  <si>
    <t>piece weglowe</t>
  </si>
  <si>
    <t>piece gazowe</t>
  </si>
  <si>
    <t>wk wł do UE</t>
  </si>
  <si>
    <t>Rok 2018 - kanalizacja maślaki</t>
  </si>
  <si>
    <t>000/18/499</t>
  </si>
  <si>
    <t>BS Nowy Sącz</t>
  </si>
  <si>
    <t>WIBOR 1M+0,63%</t>
  </si>
  <si>
    <t>31.08.2018 - 31.12.2027</t>
  </si>
  <si>
    <t>wg. Harmonogramu</t>
  </si>
  <si>
    <t>31.12.2027</t>
  </si>
  <si>
    <t>Rok 2018 - dofinansowanie zadań inwestycyjnych</t>
  </si>
  <si>
    <t>021/18/27/I</t>
  </si>
  <si>
    <t>BSR w Krakowie</t>
  </si>
  <si>
    <t>WIBOR 1M+0,65%</t>
  </si>
  <si>
    <t>27.06.2018 - 31.12.2029</t>
  </si>
  <si>
    <t>31.12.2029</t>
  </si>
  <si>
    <t>Rok 2017 – dofinansowanie zadań inwestycyjnych</t>
  </si>
  <si>
    <t>0/1/INW/JST/U/2017 z 15.12.2017</t>
  </si>
  <si>
    <t>SGB Bank SA Poznań</t>
  </si>
  <si>
    <t>WIBOR 1M+0,90% (2,56%)</t>
  </si>
  <si>
    <t>15.12.2017 - 31.12.2029</t>
  </si>
  <si>
    <t>Rok 2017 - dofinansowanie zadań inwestycyjnych</t>
  </si>
  <si>
    <t>515490-30001-10-51-13/0  z 7.08.2017</t>
  </si>
  <si>
    <t>WIBOR 1M+1,00%</t>
  </si>
  <si>
    <t>31.12.2025</t>
  </si>
  <si>
    <t>202/2017/30164107 z 19.05.2017</t>
  </si>
  <si>
    <t>BS Biecz</t>
  </si>
  <si>
    <t>WIBOR 1M+0,95%</t>
  </si>
  <si>
    <t>19.05.2017 - 31.12.2025</t>
  </si>
  <si>
    <t>515490-30001-10-51-13/31 z 19.04.2017</t>
  </si>
  <si>
    <t>WIBOR 1M+1,66%</t>
  </si>
  <si>
    <t>19.04.2017 - 31.12.2024</t>
  </si>
  <si>
    <t>31.12.2024</t>
  </si>
  <si>
    <t>WIBOR 1M+1,70%</t>
  </si>
  <si>
    <t>Rok 2016 – budowa ścieżki rowerowej w Ołpinach pożyczka</t>
  </si>
  <si>
    <t>P/120/16/24 z 6.12.2016</t>
  </si>
  <si>
    <t>WFOŚiGW w Krakowie</t>
  </si>
  <si>
    <t>06.12.2016 - 30.11.2023</t>
  </si>
  <si>
    <r>
      <rPr>
        <sz val="8"/>
        <color indexed="8"/>
        <rFont val="Calibri"/>
        <family val="2"/>
        <charset val="238"/>
      </rPr>
      <t xml:space="preserve">(kwartalna) </t>
    </r>
    <r>
      <rPr>
        <sz val="11"/>
        <color theme="1"/>
        <rFont val="Calibri"/>
        <family val="2"/>
        <charset val="238"/>
        <scheme val="minor"/>
      </rPr>
      <t>7419,54</t>
    </r>
  </si>
  <si>
    <t>30.11.2023</t>
  </si>
  <si>
    <t>Rok 2016 - budowa ścieżki rowerowej w Ołpinach</t>
  </si>
  <si>
    <t>515490-8-30001-10-51-13/29</t>
  </si>
  <si>
    <t>12.12.2016 - 31.12.2023</t>
  </si>
  <si>
    <t>31.12.2023</t>
  </si>
  <si>
    <t>Rok 2016 – modernizacja dróg dojazdowych do gruntów rolnych</t>
  </si>
  <si>
    <t>WIBOR 1M+0,70%</t>
  </si>
  <si>
    <t>Rok 2016 – budowa przedszkola</t>
  </si>
  <si>
    <t>515490-3-30001-10-51-13/24</t>
  </si>
  <si>
    <t>8.11.2016 - 31.12.2023</t>
  </si>
  <si>
    <t>Rok 2016 – budowa drogi klasy D w Ołpinach</t>
  </si>
  <si>
    <t>515490-4-30001-10-51-13/25 z 8.11.2016+Aneks</t>
  </si>
  <si>
    <t>Rok 2016 – dokumentacja projektowa</t>
  </si>
  <si>
    <t>515490-5-30001-10-51-13/26 z 8.11.2016+Aneks</t>
  </si>
  <si>
    <t>515490-2-30001-10-51-13/23 z 16.09.2016</t>
  </si>
  <si>
    <t>16.09.2016 - 31.12.2021</t>
  </si>
  <si>
    <t>31.12.2021</t>
  </si>
  <si>
    <t>Rok 2015 – budowa ścieżki rowerowej w Ołpinach</t>
  </si>
  <si>
    <t>515490-3-30001-10-51-13/20 z 25.11.2015</t>
  </si>
  <si>
    <t>WIBOR 1M+0,50%</t>
  </si>
  <si>
    <t>25.11.2015 - 31.12.2020</t>
  </si>
  <si>
    <t>31.12.2020</t>
  </si>
  <si>
    <t>Rok 2015 – budowa bieżni w Szerzynach</t>
  </si>
  <si>
    <t>515490-30001-10-51-13-21 z 10.12.2015</t>
  </si>
  <si>
    <t>10.12.2015 - 31.12.2020</t>
  </si>
  <si>
    <t>Rok 2015 – budowa dróg i dokumentacja</t>
  </si>
  <si>
    <t>530/2015/30164107 Z 1.09.2015</t>
  </si>
  <si>
    <t>WIBOR 1M+0,45%</t>
  </si>
  <si>
    <t>1.09.2015 - 31.12.2020</t>
  </si>
  <si>
    <t>Rok 2015 – budowa kanalizacji w Ołpinach</t>
  </si>
  <si>
    <t>515490-2-30001-10-51-13/19 z 6.07.2015</t>
  </si>
  <si>
    <t>6.07.2015 - 31.12.2020</t>
  </si>
  <si>
    <t>Rok 2013 – budowa kanalizacji Ołpiny żurowa</t>
  </si>
  <si>
    <t>13/2013 Z 24.05.2013</t>
  </si>
  <si>
    <t>BGK Warszawa</t>
  </si>
  <si>
    <t>WIBOR 1M+0,77%</t>
  </si>
  <si>
    <t>24.05.2013 - 31.12.2020</t>
  </si>
  <si>
    <t>Razem zadłużenie na dzień 31.12.2019 r.</t>
  </si>
  <si>
    <t>kredyty planowane do spłaty</t>
  </si>
  <si>
    <t>kredyty planowane do zaciągnięcia w roku 2019</t>
  </si>
  <si>
    <t xml:space="preserve">piece węglowe </t>
  </si>
  <si>
    <t>inwestycje 2019</t>
  </si>
  <si>
    <t>bgk</t>
  </si>
  <si>
    <t>kredyt 2020</t>
  </si>
  <si>
    <t>PSZOK realizacja</t>
  </si>
  <si>
    <t>termomodernizacja</t>
  </si>
  <si>
    <t>oswietlenie sowa 12.08.2019 NFOŚiGW</t>
  </si>
  <si>
    <t>kredyt 2020  55000 zaciągniety zostanie w 2021</t>
  </si>
  <si>
    <t>chodnik ołpiny dr powiatowa</t>
  </si>
  <si>
    <t>chodnik ołpiny</t>
  </si>
  <si>
    <t>Rok 2021</t>
  </si>
  <si>
    <t>2021 II kredyt</t>
  </si>
  <si>
    <t>pożyczka</t>
  </si>
  <si>
    <t>sala gimnastyczna 2022</t>
  </si>
  <si>
    <t>pszok 2 "2021</t>
  </si>
  <si>
    <t>SOWA 220000</t>
  </si>
  <si>
    <t>droga szerzyny FDS</t>
  </si>
  <si>
    <t>kredyt planowany w 2021 roku na inwestycje</t>
  </si>
  <si>
    <t>KLASZTOREK własne 2022</t>
  </si>
  <si>
    <t>KLASZTOREK własne 2023</t>
  </si>
  <si>
    <t>KLASZTOREK UE  2023</t>
  </si>
  <si>
    <t xml:space="preserve">KLASZTOREK UE 2022 </t>
  </si>
  <si>
    <t>ZGDW - zbiorniki na wodę</t>
  </si>
  <si>
    <t>dokumentacje - inwestycje 2022</t>
  </si>
  <si>
    <t>mieszkanie  2022</t>
  </si>
  <si>
    <t>pfu stawy 2022</t>
  </si>
  <si>
    <t>mieszkanie 2023</t>
  </si>
  <si>
    <t>mosdt rok 2020 kredyt 450 288 zł i w roku 2021 kredyt 79 975,58</t>
  </si>
  <si>
    <t>Razem:</t>
  </si>
  <si>
    <t>zaciagniete kredyty</t>
  </si>
  <si>
    <t>dług do spłaty</t>
  </si>
  <si>
    <t>UE własne</t>
  </si>
  <si>
    <t>planowane UE</t>
  </si>
  <si>
    <t>kiredyt 2019 rok grudzień</t>
  </si>
  <si>
    <t>razem wyłaczone od</t>
  </si>
  <si>
    <t>ue własne</t>
  </si>
  <si>
    <t>ue</t>
  </si>
  <si>
    <t>pozostałe</t>
  </si>
  <si>
    <t>opinia rio - I</t>
  </si>
  <si>
    <t>most i pszok 2020</t>
  </si>
  <si>
    <t>opinia rio II</t>
  </si>
  <si>
    <t>sala osw piece szkoly</t>
  </si>
  <si>
    <t>od 0 do 1</t>
  </si>
  <si>
    <t>od 1 do 5</t>
  </si>
  <si>
    <t>pow. 5</t>
  </si>
  <si>
    <t>rok 2022</t>
  </si>
  <si>
    <t>klasztorek UE</t>
  </si>
  <si>
    <t>klasztorek wł</t>
  </si>
  <si>
    <t>droga szerzyny</t>
  </si>
  <si>
    <t>ZGDW jasło zbiorniki</t>
  </si>
  <si>
    <t>sala żurowa</t>
  </si>
  <si>
    <t>inwestycje dok osp</t>
  </si>
  <si>
    <t>sowa</t>
  </si>
  <si>
    <t>łacznik</t>
  </si>
  <si>
    <t>inwestycje</t>
  </si>
  <si>
    <t>sala</t>
  </si>
  <si>
    <t>klasztorek</t>
  </si>
  <si>
    <t>klasztorek własne</t>
  </si>
  <si>
    <t>klasztorek UE /spłata 2023</t>
  </si>
  <si>
    <t>rodzaj</t>
  </si>
  <si>
    <t>kredyt</t>
  </si>
  <si>
    <t>data udzielenia</t>
  </si>
  <si>
    <t>WIBOR 1 M +0,54%</t>
  </si>
  <si>
    <t>WIBOR 1M +0,79%</t>
  </si>
  <si>
    <t>28.07.2022 - 31.12.2039</t>
  </si>
  <si>
    <t>WIBOD 1M + 8,42%</t>
  </si>
  <si>
    <t>21.12.2022 - 31.12.2039</t>
  </si>
  <si>
    <t>07.08.2017 - 31.12.2025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</si>
</sst>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i/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color rgb="FFFF0000"/>
      <name val="Calibri"/>
      <family val="2"/>
      <charset val="238"/>
      <scheme val="minor"/>
    </font>
    <font>
      <b/>
      <i/>
      <sz val="8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8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i/>
      <sz val="8"/>
      <color rgb="FFFF0000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11"/>
      <color theme="9" tint="-0.49998474074526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8">
    <xf numFmtId="0" fontId="0" fillId="0" borderId="0" xfId="0"/>
    <xf numFmtId="0" fontId="3" fillId="0" borderId="0" xfId="0" applyFont="1"/>
    <xf numFmtId="0" fontId="2" fillId="0" borderId="0" xfId="0" applyFont="1"/>
    <xf numFmtId="0" fontId="0" fillId="2" borderId="0" xfId="0" applyFill="1"/>
    <xf numFmtId="4" fontId="0" fillId="0" borderId="0" xfId="0" applyNumberFormat="1"/>
    <xf numFmtId="0" fontId="4" fillId="0" borderId="0" xfId="0" applyFont="1"/>
    <xf numFmtId="4" fontId="4" fillId="0" borderId="0" xfId="0" applyNumberFormat="1" applyFont="1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justify" vertical="center" wrapText="1"/>
    </xf>
    <xf numFmtId="0" fontId="0" fillId="0" borderId="4" xfId="0" applyBorder="1"/>
    <xf numFmtId="0" fontId="5" fillId="0" borderId="4" xfId="0" applyFont="1" applyBorder="1"/>
    <xf numFmtId="0" fontId="5" fillId="4" borderId="4" xfId="0" applyFont="1" applyFill="1" applyBorder="1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3" fillId="5" borderId="4" xfId="0" applyFont="1" applyFill="1" applyBorder="1" applyAlignment="1">
      <alignment wrapText="1"/>
    </xf>
    <xf numFmtId="0" fontId="0" fillId="0" borderId="5" xfId="0" applyBorder="1" applyAlignment="1">
      <alignment horizontal="justify" vertical="center" wrapText="1"/>
    </xf>
    <xf numFmtId="4" fontId="0" fillId="0" borderId="3" xfId="0" applyNumberFormat="1" applyBorder="1" applyAlignment="1">
      <alignment horizontal="justify" vertical="center" wrapText="1"/>
    </xf>
    <xf numFmtId="4" fontId="5" fillId="6" borderId="4" xfId="0" applyNumberFormat="1" applyFont="1" applyFill="1" applyBorder="1"/>
    <xf numFmtId="4" fontId="0" fillId="0" borderId="4" xfId="0" applyNumberFormat="1" applyBorder="1"/>
    <xf numFmtId="4" fontId="5" fillId="0" borderId="4" xfId="0" applyNumberFormat="1" applyFont="1" applyBorder="1"/>
    <xf numFmtId="0" fontId="5" fillId="0" borderId="0" xfId="0" applyFont="1"/>
    <xf numFmtId="4" fontId="0" fillId="7" borderId="4" xfId="0" applyNumberFormat="1" applyFill="1" applyBorder="1"/>
    <xf numFmtId="4" fontId="5" fillId="7" borderId="4" xfId="0" applyNumberFormat="1" applyFont="1" applyFill="1" applyBorder="1"/>
    <xf numFmtId="4" fontId="5" fillId="4" borderId="4" xfId="0" applyNumberFormat="1" applyFont="1" applyFill="1" applyBorder="1"/>
    <xf numFmtId="4" fontId="5" fillId="8" borderId="4" xfId="0" applyNumberFormat="1" applyFont="1" applyFill="1" applyBorder="1"/>
    <xf numFmtId="10" fontId="0" fillId="0" borderId="5" xfId="0" applyNumberFormat="1" applyBorder="1" applyAlignment="1">
      <alignment horizontal="justify" vertical="center" wrapText="1"/>
    </xf>
    <xf numFmtId="4" fontId="0" fillId="0" borderId="3" xfId="0" applyNumberFormat="1" applyBorder="1" applyAlignment="1">
      <alignment horizontal="right"/>
    </xf>
    <xf numFmtId="4" fontId="6" fillId="0" borderId="4" xfId="0" applyNumberFormat="1" applyFont="1" applyBorder="1"/>
    <xf numFmtId="4" fontId="6" fillId="0" borderId="0" xfId="0" applyNumberFormat="1" applyFont="1"/>
    <xf numFmtId="4" fontId="0" fillId="0" borderId="5" xfId="0" applyNumberFormat="1" applyBorder="1" applyAlignment="1">
      <alignment horizontal="justify" vertical="center" wrapText="1"/>
    </xf>
    <xf numFmtId="14" fontId="0" fillId="0" borderId="4" xfId="0" applyNumberFormat="1" applyBorder="1" applyAlignment="1">
      <alignment horizontal="justify" vertical="center" wrapText="1"/>
    </xf>
    <xf numFmtId="4" fontId="7" fillId="0" borderId="4" xfId="0" applyNumberFormat="1" applyFont="1" applyBorder="1"/>
    <xf numFmtId="14" fontId="1" fillId="0" borderId="4" xfId="0" applyNumberFormat="1" applyFont="1" applyBorder="1" applyAlignment="1">
      <alignment horizontal="justify" vertical="center" wrapText="1"/>
    </xf>
    <xf numFmtId="4" fontId="0" fillId="2" borderId="0" xfId="0" applyNumberFormat="1" applyFill="1"/>
    <xf numFmtId="0" fontId="3" fillId="5" borderId="4" xfId="0" applyFont="1" applyFill="1" applyBorder="1"/>
    <xf numFmtId="0" fontId="3" fillId="0" borderId="4" xfId="0" applyFont="1" applyBorder="1"/>
    <xf numFmtId="4" fontId="0" fillId="9" borderId="0" xfId="0" applyNumberFormat="1" applyFill="1"/>
    <xf numFmtId="0" fontId="1" fillId="0" borderId="4" xfId="0" applyFont="1" applyBorder="1"/>
    <xf numFmtId="0" fontId="8" fillId="5" borderId="4" xfId="0" applyFont="1" applyFill="1" applyBorder="1"/>
    <xf numFmtId="0" fontId="1" fillId="7" borderId="4" xfId="0" applyFont="1" applyFill="1" applyBorder="1" applyAlignment="1">
      <alignment horizontal="justify" vertical="center" wrapText="1"/>
    </xf>
    <xf numFmtId="4" fontId="5" fillId="5" borderId="4" xfId="0" applyNumberFormat="1" applyFont="1" applyFill="1" applyBorder="1"/>
    <xf numFmtId="0" fontId="7" fillId="0" borderId="4" xfId="0" applyFont="1" applyBorder="1"/>
    <xf numFmtId="0" fontId="10" fillId="5" borderId="4" xfId="0" applyFont="1" applyFill="1" applyBorder="1"/>
    <xf numFmtId="4" fontId="0" fillId="8" borderId="4" xfId="0" applyNumberFormat="1" applyFill="1" applyBorder="1"/>
    <xf numFmtId="4" fontId="0" fillId="10" borderId="4" xfId="0" applyNumberFormat="1" applyFill="1" applyBorder="1"/>
    <xf numFmtId="10" fontId="0" fillId="0" borderId="4" xfId="0" applyNumberFormat="1" applyBorder="1" applyAlignment="1">
      <alignment horizontal="justify" vertical="center" wrapText="1"/>
    </xf>
    <xf numFmtId="4" fontId="0" fillId="0" borderId="4" xfId="0" applyNumberFormat="1" applyBorder="1" applyAlignment="1">
      <alignment horizontal="right"/>
    </xf>
    <xf numFmtId="4" fontId="6" fillId="4" borderId="4" xfId="0" applyNumberFormat="1" applyFont="1" applyFill="1" applyBorder="1"/>
    <xf numFmtId="0" fontId="2" fillId="0" borderId="2" xfId="0" applyFont="1" applyBorder="1" applyAlignment="1">
      <alignment horizontal="right"/>
    </xf>
    <xf numFmtId="4" fontId="2" fillId="0" borderId="4" xfId="0" applyNumberFormat="1" applyFont="1" applyBorder="1"/>
    <xf numFmtId="4" fontId="2" fillId="8" borderId="0" xfId="0" applyNumberFormat="1" applyFont="1" applyFill="1"/>
    <xf numFmtId="4" fontId="6" fillId="5" borderId="4" xfId="0" applyNumberFormat="1" applyFont="1" applyFill="1" applyBorder="1"/>
    <xf numFmtId="4" fontId="2" fillId="0" borderId="0" xfId="0" applyNumberFormat="1" applyFont="1"/>
    <xf numFmtId="4" fontId="12" fillId="0" borderId="0" xfId="0" applyNumberFormat="1" applyFont="1"/>
    <xf numFmtId="4" fontId="13" fillId="0" borderId="0" xfId="0" applyNumberFormat="1" applyFont="1"/>
    <xf numFmtId="0" fontId="0" fillId="0" borderId="0" xfId="0" applyAlignment="1">
      <alignment horizontal="right"/>
    </xf>
    <xf numFmtId="0" fontId="0" fillId="0" borderId="3" xfId="0" applyBorder="1" applyAlignment="1">
      <alignment horizontal="right"/>
    </xf>
    <xf numFmtId="0" fontId="1" fillId="0" borderId="5" xfId="0" applyFont="1" applyBorder="1" applyAlignment="1">
      <alignment horizontal="left" wrapText="1"/>
    </xf>
    <xf numFmtId="4" fontId="1" fillId="0" borderId="4" xfId="0" applyNumberFormat="1" applyFont="1" applyBorder="1"/>
    <xf numFmtId="4" fontId="14" fillId="5" borderId="4" xfId="0" applyNumberFormat="1" applyFont="1" applyFill="1" applyBorder="1"/>
    <xf numFmtId="4" fontId="15" fillId="5" borderId="4" xfId="0" applyNumberFormat="1" applyFont="1" applyFill="1" applyBorder="1"/>
    <xf numFmtId="4" fontId="1" fillId="0" borderId="0" xfId="0" applyNumberFormat="1" applyFont="1"/>
    <xf numFmtId="4" fontId="0" fillId="0" borderId="0" xfId="0" applyNumberFormat="1" applyAlignment="1">
      <alignment horizontal="right"/>
    </xf>
    <xf numFmtId="4" fontId="0" fillId="2" borderId="0" xfId="0" applyNumberFormat="1" applyFill="1" applyAlignment="1">
      <alignment horizontal="right"/>
    </xf>
    <xf numFmtId="0" fontId="0" fillId="2" borderId="5" xfId="0" applyFill="1" applyBorder="1" applyAlignment="1">
      <alignment horizontal="left" wrapText="1"/>
    </xf>
    <xf numFmtId="4" fontId="0" fillId="2" borderId="4" xfId="0" applyNumberFormat="1" applyFill="1" applyBorder="1"/>
    <xf numFmtId="4" fontId="6" fillId="2" borderId="4" xfId="0" applyNumberFormat="1" applyFont="1" applyFill="1" applyBorder="1"/>
    <xf numFmtId="4" fontId="5" fillId="2" borderId="4" xfId="0" applyNumberFormat="1" applyFont="1" applyFill="1" applyBorder="1"/>
    <xf numFmtId="0" fontId="0" fillId="3" borderId="4" xfId="0" applyFill="1" applyBorder="1"/>
    <xf numFmtId="0" fontId="3" fillId="3" borderId="4" xfId="0" applyFont="1" applyFill="1" applyBorder="1"/>
    <xf numFmtId="4" fontId="0" fillId="9" borderId="0" xfId="0" applyNumberFormat="1" applyFill="1" applyAlignment="1">
      <alignment horizontal="right"/>
    </xf>
    <xf numFmtId="0" fontId="0" fillId="9" borderId="5" xfId="0" applyFill="1" applyBorder="1" applyAlignment="1">
      <alignment horizontal="left" wrapText="1"/>
    </xf>
    <xf numFmtId="4" fontId="0" fillId="9" borderId="4" xfId="0" applyNumberFormat="1" applyFill="1" applyBorder="1"/>
    <xf numFmtId="0" fontId="0" fillId="9" borderId="4" xfId="0" applyFill="1" applyBorder="1"/>
    <xf numFmtId="0" fontId="0" fillId="8" borderId="4" xfId="0" applyFill="1" applyBorder="1"/>
    <xf numFmtId="0" fontId="3" fillId="8" borderId="4" xfId="0" applyFont="1" applyFill="1" applyBorder="1"/>
    <xf numFmtId="0" fontId="0" fillId="11" borderId="5" xfId="0" applyFill="1" applyBorder="1" applyAlignment="1">
      <alignment horizontal="left" wrapText="1"/>
    </xf>
    <xf numFmtId="0" fontId="0" fillId="11" borderId="0" xfId="0" applyFill="1"/>
    <xf numFmtId="0" fontId="0" fillId="11" borderId="0" xfId="0" applyFill="1" applyAlignment="1">
      <alignment horizontal="right"/>
    </xf>
    <xf numFmtId="4" fontId="0" fillId="11" borderId="0" xfId="0" applyNumberFormat="1" applyFill="1" applyAlignment="1">
      <alignment horizontal="right"/>
    </xf>
    <xf numFmtId="4" fontId="0" fillId="11" borderId="3" xfId="0" applyNumberFormat="1" applyFill="1" applyBorder="1" applyAlignment="1">
      <alignment horizontal="right"/>
    </xf>
    <xf numFmtId="0" fontId="0" fillId="12" borderId="5" xfId="0" applyFill="1" applyBorder="1" applyAlignment="1">
      <alignment horizontal="left" wrapText="1"/>
    </xf>
    <xf numFmtId="4" fontId="7" fillId="12" borderId="4" xfId="0" applyNumberFormat="1" applyFont="1" applyFill="1" applyBorder="1"/>
    <xf numFmtId="4" fontId="9" fillId="12" borderId="4" xfId="0" applyNumberFormat="1" applyFont="1" applyFill="1" applyBorder="1"/>
    <xf numFmtId="0" fontId="7" fillId="11" borderId="4" xfId="0" applyFont="1" applyFill="1" applyBorder="1"/>
    <xf numFmtId="4" fontId="9" fillId="11" borderId="4" xfId="0" applyNumberFormat="1" applyFont="1" applyFill="1" applyBorder="1"/>
    <xf numFmtId="4" fontId="7" fillId="11" borderId="4" xfId="0" applyNumberFormat="1" applyFont="1" applyFill="1" applyBorder="1"/>
    <xf numFmtId="0" fontId="10" fillId="8" borderId="4" xfId="0" applyFont="1" applyFill="1" applyBorder="1"/>
    <xf numFmtId="4" fontId="0" fillId="12" borderId="4" xfId="0" applyNumberFormat="1" applyFill="1" applyBorder="1"/>
    <xf numFmtId="4" fontId="6" fillId="12" borderId="4" xfId="0" applyNumberFormat="1" applyFont="1" applyFill="1" applyBorder="1"/>
    <xf numFmtId="4" fontId="5" fillId="12" borderId="4" xfId="0" applyNumberFormat="1" applyFont="1" applyFill="1" applyBorder="1"/>
    <xf numFmtId="4" fontId="16" fillId="0" borderId="4" xfId="0" applyNumberFormat="1" applyFont="1" applyBorder="1"/>
    <xf numFmtId="4" fontId="16" fillId="0" borderId="0" xfId="0" applyNumberFormat="1" applyFont="1"/>
    <xf numFmtId="0" fontId="7" fillId="8" borderId="4" xfId="0" applyFont="1" applyFill="1" applyBorder="1"/>
    <xf numFmtId="4" fontId="0" fillId="2" borderId="3" xfId="0" applyNumberFormat="1" applyFill="1" applyBorder="1" applyAlignment="1">
      <alignment horizontal="right"/>
    </xf>
    <xf numFmtId="4" fontId="0" fillId="8" borderId="3" xfId="0" applyNumberFormat="1" applyFill="1" applyBorder="1" applyAlignment="1">
      <alignment horizontal="right"/>
    </xf>
    <xf numFmtId="0" fontId="0" fillId="8" borderId="0" xfId="0" applyFill="1" applyAlignment="1">
      <alignment horizontal="right"/>
    </xf>
    <xf numFmtId="4" fontId="0" fillId="8" borderId="0" xfId="0" applyNumberFormat="1" applyFill="1" applyAlignment="1">
      <alignment horizontal="right"/>
    </xf>
    <xf numFmtId="0" fontId="0" fillId="8" borderId="5" xfId="0" applyFill="1" applyBorder="1" applyAlignment="1">
      <alignment horizontal="left" wrapText="1"/>
    </xf>
    <xf numFmtId="4" fontId="6" fillId="8" borderId="4" xfId="0" applyNumberFormat="1" applyFont="1" applyFill="1" applyBorder="1"/>
    <xf numFmtId="4" fontId="7" fillId="8" borderId="4" xfId="0" applyNumberFormat="1" applyFont="1" applyFill="1" applyBorder="1"/>
    <xf numFmtId="4" fontId="9" fillId="8" borderId="4" xfId="0" applyNumberFormat="1" applyFont="1" applyFill="1" applyBorder="1"/>
    <xf numFmtId="0" fontId="17" fillId="3" borderId="0" xfId="0" applyFont="1" applyFill="1" applyAlignment="1">
      <alignment horizontal="right"/>
    </xf>
    <xf numFmtId="4" fontId="0" fillId="3" borderId="4" xfId="0" applyNumberFormat="1" applyFill="1" applyBorder="1" applyAlignment="1">
      <alignment horizontal="right"/>
    </xf>
    <xf numFmtId="0" fontId="0" fillId="3" borderId="6" xfId="0" applyFill="1" applyBorder="1" applyAlignment="1">
      <alignment horizontal="left" wrapText="1"/>
    </xf>
    <xf numFmtId="4" fontId="0" fillId="3" borderId="4" xfId="0" applyNumberFormat="1" applyFill="1" applyBorder="1"/>
    <xf numFmtId="4" fontId="6" fillId="3" borderId="4" xfId="0" applyNumberFormat="1" applyFont="1" applyFill="1" applyBorder="1"/>
    <xf numFmtId="4" fontId="5" fillId="3" borderId="4" xfId="0" applyNumberFormat="1" applyFont="1" applyFill="1" applyBorder="1"/>
    <xf numFmtId="4" fontId="0" fillId="3" borderId="0" xfId="0" applyNumberFormat="1" applyFill="1"/>
    <xf numFmtId="4" fontId="6" fillId="3" borderId="0" xfId="0" applyNumberFormat="1" applyFont="1" applyFill="1"/>
    <xf numFmtId="4" fontId="0" fillId="10" borderId="4" xfId="0" applyNumberFormat="1" applyFill="1" applyBorder="1" applyAlignment="1">
      <alignment horizontal="right"/>
    </xf>
    <xf numFmtId="0" fontId="7" fillId="3" borderId="2" xfId="0" applyFont="1" applyFill="1" applyBorder="1" applyAlignment="1">
      <alignment horizontal="right"/>
    </xf>
    <xf numFmtId="0" fontId="0" fillId="3" borderId="2" xfId="0" applyFill="1" applyBorder="1" applyAlignment="1">
      <alignment horizontal="right"/>
    </xf>
    <xf numFmtId="4" fontId="0" fillId="6" borderId="3" xfId="0" applyNumberFormat="1" applyFill="1" applyBorder="1" applyAlignment="1">
      <alignment horizontal="right"/>
    </xf>
    <xf numFmtId="4" fontId="0" fillId="6" borderId="4" xfId="0" applyNumberFormat="1" applyFill="1" applyBorder="1"/>
    <xf numFmtId="4" fontId="6" fillId="6" borderId="4" xfId="0" applyNumberFormat="1" applyFont="1" applyFill="1" applyBorder="1"/>
    <xf numFmtId="4" fontId="6" fillId="6" borderId="0" xfId="0" applyNumberFormat="1" applyFont="1" applyFill="1"/>
    <xf numFmtId="4" fontId="0" fillId="10" borderId="3" xfId="0" applyNumberFormat="1" applyFill="1" applyBorder="1" applyAlignment="1">
      <alignment horizontal="right"/>
    </xf>
    <xf numFmtId="4" fontId="6" fillId="10" borderId="4" xfId="0" applyNumberFormat="1" applyFont="1" applyFill="1" applyBorder="1"/>
    <xf numFmtId="4" fontId="5" fillId="10" borderId="4" xfId="0" applyNumberFormat="1" applyFont="1" applyFill="1" applyBorder="1"/>
    <xf numFmtId="4" fontId="6" fillId="10" borderId="0" xfId="0" applyNumberFormat="1" applyFont="1" applyFill="1"/>
    <xf numFmtId="4" fontId="0" fillId="6" borderId="6" xfId="0" applyNumberFormat="1" applyFill="1" applyBorder="1" applyAlignment="1">
      <alignment horizontal="right"/>
    </xf>
    <xf numFmtId="4" fontId="0" fillId="13" borderId="3" xfId="0" applyNumberFormat="1" applyFill="1" applyBorder="1" applyAlignment="1">
      <alignment horizontal="right"/>
    </xf>
    <xf numFmtId="0" fontId="0" fillId="13" borderId="5" xfId="0" applyFill="1" applyBorder="1" applyAlignment="1">
      <alignment horizontal="left" wrapText="1"/>
    </xf>
    <xf numFmtId="4" fontId="0" fillId="13" borderId="4" xfId="0" applyNumberFormat="1" applyFill="1" applyBorder="1"/>
    <xf numFmtId="4" fontId="6" fillId="13" borderId="4" xfId="0" applyNumberFormat="1" applyFont="1" applyFill="1" applyBorder="1"/>
    <xf numFmtId="4" fontId="5" fillId="13" borderId="4" xfId="0" applyNumberFormat="1" applyFont="1" applyFill="1" applyBorder="1"/>
    <xf numFmtId="4" fontId="18" fillId="13" borderId="4" xfId="0" applyNumberFormat="1" applyFont="1" applyFill="1" applyBorder="1"/>
    <xf numFmtId="4" fontId="18" fillId="13" borderId="0" xfId="0" applyNumberFormat="1" applyFont="1" applyFill="1"/>
    <xf numFmtId="0" fontId="0" fillId="13" borderId="0" xfId="0" applyFill="1" applyAlignment="1">
      <alignment horizontal="right"/>
    </xf>
    <xf numFmtId="4" fontId="0" fillId="13" borderId="0" xfId="0" applyNumberFormat="1" applyFill="1" applyAlignment="1">
      <alignment horizontal="right"/>
    </xf>
    <xf numFmtId="4" fontId="0" fillId="13" borderId="2" xfId="0" applyNumberFormat="1" applyFill="1" applyBorder="1" applyAlignment="1">
      <alignment horizontal="right"/>
    </xf>
    <xf numFmtId="0" fontId="0" fillId="13" borderId="2" xfId="0" applyFill="1" applyBorder="1" applyAlignment="1">
      <alignment horizontal="right"/>
    </xf>
    <xf numFmtId="4" fontId="0" fillId="13" borderId="0" xfId="0" applyNumberFormat="1" applyFill="1"/>
    <xf numFmtId="0" fontId="3" fillId="5" borderId="7" xfId="0" applyFont="1" applyFill="1" applyBorder="1"/>
    <xf numFmtId="4" fontId="6" fillId="13" borderId="0" xfId="0" applyNumberFormat="1" applyFont="1" applyFill="1"/>
    <xf numFmtId="4" fontId="0" fillId="0" borderId="2" xfId="0" applyNumberFormat="1" applyBorder="1" applyAlignment="1">
      <alignment horizontal="right"/>
    </xf>
    <xf numFmtId="0" fontId="0" fillId="0" borderId="2" xfId="0" applyBorder="1" applyAlignment="1">
      <alignment horizontal="right"/>
    </xf>
    <xf numFmtId="4" fontId="0" fillId="14" borderId="0" xfId="0" applyNumberFormat="1" applyFill="1" applyAlignment="1">
      <alignment horizontal="right"/>
    </xf>
    <xf numFmtId="0" fontId="0" fillId="14" borderId="0" xfId="0" applyFill="1" applyAlignment="1">
      <alignment horizontal="right"/>
    </xf>
    <xf numFmtId="0" fontId="3" fillId="0" borderId="7" xfId="0" applyFont="1" applyBorder="1"/>
    <xf numFmtId="0" fontId="0" fillId="3" borderId="0" xfId="0" applyFill="1"/>
    <xf numFmtId="4" fontId="0" fillId="3" borderId="0" xfId="0" applyNumberFormat="1" applyFill="1" applyAlignment="1">
      <alignment horizontal="right"/>
    </xf>
    <xf numFmtId="0" fontId="0" fillId="0" borderId="3" xfId="0" applyBorder="1"/>
    <xf numFmtId="0" fontId="2" fillId="0" borderId="4" xfId="0" applyFont="1" applyBorder="1"/>
    <xf numFmtId="4" fontId="3" fillId="0" borderId="4" xfId="0" applyNumberFormat="1" applyFont="1" applyBorder="1"/>
    <xf numFmtId="4" fontId="19" fillId="5" borderId="4" xfId="0" applyNumberFormat="1" applyFont="1" applyFill="1" applyBorder="1"/>
    <xf numFmtId="4" fontId="2" fillId="5" borderId="4" xfId="0" applyNumberFormat="1" applyFont="1" applyFill="1" applyBorder="1"/>
    <xf numFmtId="4" fontId="5" fillId="0" borderId="0" xfId="0" applyNumberFormat="1" applyFont="1"/>
    <xf numFmtId="0" fontId="3" fillId="5" borderId="0" xfId="0" applyFont="1" applyFill="1"/>
    <xf numFmtId="4" fontId="0" fillId="6" borderId="0" xfId="0" applyNumberFormat="1" applyFill="1"/>
    <xf numFmtId="0" fontId="0" fillId="12" borderId="0" xfId="0" applyFill="1"/>
    <xf numFmtId="0" fontId="3" fillId="12" borderId="0" xfId="0" applyFont="1" applyFill="1"/>
    <xf numFmtId="4" fontId="20" fillId="9" borderId="4" xfId="0" applyNumberFormat="1" applyFont="1" applyFill="1" applyBorder="1"/>
    <xf numFmtId="4" fontId="12" fillId="6" borderId="0" xfId="0" applyNumberFormat="1" applyFont="1" applyFill="1"/>
    <xf numFmtId="0" fontId="0" fillId="6" borderId="0" xfId="0" applyFill="1"/>
    <xf numFmtId="4" fontId="12" fillId="6" borderId="4" xfId="0" applyNumberFormat="1" applyFont="1" applyFill="1" applyBorder="1"/>
    <xf numFmtId="0" fontId="0" fillId="12" borderId="4" xfId="0" applyFill="1" applyBorder="1"/>
    <xf numFmtId="0" fontId="3" fillId="12" borderId="4" xfId="0" applyFont="1" applyFill="1" applyBorder="1"/>
    <xf numFmtId="0" fontId="0" fillId="0" borderId="5" xfId="0" applyBorder="1"/>
    <xf numFmtId="0" fontId="1" fillId="6" borderId="0" xfId="0" applyFont="1" applyFill="1"/>
    <xf numFmtId="4" fontId="12" fillId="0" borderId="4" xfId="0" applyNumberFormat="1" applyFont="1" applyBorder="1"/>
    <xf numFmtId="0" fontId="0" fillId="9" borderId="0" xfId="0" applyFill="1"/>
    <xf numFmtId="4" fontId="0" fillId="15" borderId="0" xfId="0" applyNumberFormat="1" applyFill="1"/>
    <xf numFmtId="0" fontId="0" fillId="15" borderId="0" xfId="0" applyFill="1"/>
    <xf numFmtId="0" fontId="0" fillId="8" borderId="0" xfId="0" applyFill="1"/>
    <xf numFmtId="4" fontId="0" fillId="8" borderId="0" xfId="0" applyNumberFormat="1" applyFill="1"/>
    <xf numFmtId="4" fontId="3" fillId="0" borderId="0" xfId="0" applyNumberFormat="1" applyFont="1"/>
    <xf numFmtId="0" fontId="1" fillId="15" borderId="0" xfId="0" applyFont="1" applyFill="1"/>
    <xf numFmtId="0" fontId="13" fillId="0" borderId="0" xfId="0" applyFont="1"/>
    <xf numFmtId="0" fontId="0" fillId="0" borderId="3" xfId="0" applyBorder="1" applyAlignment="1">
      <alignment horizontal="justify" vertical="center" wrapText="1"/>
    </xf>
    <xf numFmtId="0" fontId="5" fillId="0" borderId="0" xfId="0" applyFont="1" applyBorder="1"/>
    <xf numFmtId="0" fontId="0" fillId="0" borderId="0" xfId="0" applyBorder="1"/>
    <xf numFmtId="0" fontId="0" fillId="0" borderId="5" xfId="0" applyBorder="1" applyAlignment="1">
      <alignment horizontal="justify" vertical="center" wrapText="1"/>
    </xf>
    <xf numFmtId="4" fontId="0" fillId="0" borderId="5" xfId="0" applyNumberFormat="1" applyBorder="1" applyAlignment="1">
      <alignment horizontal="right" vertical="center" wrapText="1"/>
    </xf>
    <xf numFmtId="4" fontId="0" fillId="0" borderId="5" xfId="0" applyNumberFormat="1" applyBorder="1" applyAlignment="1">
      <alignment vertical="center"/>
    </xf>
    <xf numFmtId="4" fontId="2" fillId="0" borderId="3" xfId="0" applyNumberFormat="1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" fontId="0" fillId="0" borderId="8" xfId="0" applyNumberFormat="1" applyBorder="1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14" fontId="0" fillId="0" borderId="5" xfId="0" applyNumberFormat="1" applyBorder="1" applyAlignment="1">
      <alignment horizontal="center" vertical="center" wrapText="1"/>
    </xf>
    <xf numFmtId="4" fontId="0" fillId="0" borderId="5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wrapText="1"/>
    </xf>
    <xf numFmtId="4" fontId="0" fillId="0" borderId="0" xfId="0" applyNumberFormat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0" fillId="9" borderId="4" xfId="0" applyFill="1" applyBorder="1" applyAlignment="1">
      <alignment horizontal="center" wrapText="1"/>
    </xf>
    <xf numFmtId="0" fontId="0" fillId="11" borderId="4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8" borderId="0" xfId="0" applyFill="1" applyAlignment="1">
      <alignment horizontal="center" wrapText="1"/>
    </xf>
    <xf numFmtId="4" fontId="17" fillId="3" borderId="0" xfId="0" applyNumberFormat="1" applyFont="1" applyFill="1" applyAlignment="1">
      <alignment horizontal="center"/>
    </xf>
    <xf numFmtId="4" fontId="0" fillId="6" borderId="3" xfId="0" applyNumberFormat="1" applyFill="1" applyBorder="1" applyAlignment="1">
      <alignment horizontal="center"/>
    </xf>
    <xf numFmtId="0" fontId="0" fillId="13" borderId="0" xfId="0" applyFill="1" applyAlignment="1">
      <alignment horizontal="center" wrapText="1"/>
    </xf>
    <xf numFmtId="0" fontId="0" fillId="13" borderId="0" xfId="0" applyFill="1" applyAlignment="1">
      <alignment horizontal="center"/>
    </xf>
    <xf numFmtId="4" fontId="0" fillId="13" borderId="0" xfId="0" applyNumberFormat="1" applyFill="1" applyAlignment="1">
      <alignment horizontal="center"/>
    </xf>
    <xf numFmtId="0" fontId="0" fillId="9" borderId="4" xfId="0" applyFill="1" applyBorder="1" applyAlignment="1">
      <alignment horizontal="center"/>
    </xf>
    <xf numFmtId="4" fontId="0" fillId="6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8" borderId="0" xfId="0" applyFill="1" applyAlignment="1">
      <alignment horizontal="center"/>
    </xf>
    <xf numFmtId="4" fontId="0" fillId="8" borderId="0" xfId="0" applyNumberForma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11" borderId="5" xfId="0" applyFill="1" applyBorder="1" applyAlignment="1">
      <alignment horizontal="center" wrapText="1"/>
    </xf>
    <xf numFmtId="0" fontId="0" fillId="13" borderId="5" xfId="0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J175"/>
  <sheetViews>
    <sheetView tabSelected="1" view="pageBreakPreview" topLeftCell="A7" zoomScale="85" zoomScaleSheetLayoutView="85" zoomScalePageLayoutView="85" workbookViewId="0">
      <selection activeCell="E174" sqref="E174"/>
    </sheetView>
  </sheetViews>
  <sheetFormatPr defaultRowHeight="15"/>
  <cols>
    <col min="1" max="1" width="4" bestFit="1" customWidth="1"/>
    <col min="2" max="2" width="56.85546875" hidden="1" customWidth="1"/>
    <col min="3" max="3" width="42.85546875" hidden="1" customWidth="1"/>
    <col min="4" max="4" width="41.7109375" customWidth="1"/>
    <col min="5" max="5" width="9.85546875" customWidth="1"/>
    <col min="6" max="6" width="14.7109375" customWidth="1"/>
    <col min="7" max="7" width="23.85546875" customWidth="1"/>
    <col min="8" max="8" width="15.42578125" customWidth="1"/>
    <col min="9" max="9" width="0.140625" hidden="1" customWidth="1"/>
    <col min="10" max="10" width="28.28515625" customWidth="1"/>
    <col min="11" max="11" width="18.5703125" hidden="1" customWidth="1"/>
    <col min="12" max="12" width="18" hidden="1" customWidth="1"/>
    <col min="13" max="13" width="13.5703125" hidden="1" customWidth="1"/>
    <col min="14" max="14" width="10.140625" hidden="1" customWidth="1"/>
    <col min="15" max="15" width="10.28515625" hidden="1" customWidth="1"/>
    <col min="16" max="17" width="14.28515625" hidden="1" customWidth="1"/>
    <col min="18" max="18" width="13.42578125" hidden="1" customWidth="1"/>
    <col min="19" max="19" width="10.5703125" hidden="1" customWidth="1"/>
    <col min="20" max="20" width="13.28515625" hidden="1" customWidth="1"/>
    <col min="21" max="22" width="13" hidden="1" customWidth="1"/>
    <col min="23" max="23" width="11.5703125" hidden="1" customWidth="1"/>
    <col min="24" max="25" width="12.28515625" hidden="1" customWidth="1"/>
    <col min="26" max="26" width="9.42578125" hidden="1" customWidth="1"/>
    <col min="27" max="29" width="11.7109375" hidden="1" customWidth="1"/>
    <col min="30" max="32" width="11.28515625" hidden="1" customWidth="1"/>
    <col min="33" max="34" width="11.5703125" hidden="1" customWidth="1"/>
    <col min="35" max="36" width="11.28515625" hidden="1" customWidth="1"/>
    <col min="37" max="37" width="12" hidden="1" customWidth="1"/>
    <col min="38" max="38" width="10.7109375" hidden="1" customWidth="1"/>
    <col min="39" max="40" width="11.42578125" hidden="1" customWidth="1"/>
    <col min="41" max="41" width="11.5703125" hidden="1" customWidth="1"/>
    <col min="42" max="56" width="10.5703125" hidden="1" customWidth="1"/>
    <col min="57" max="57" width="11.42578125" hidden="1" customWidth="1"/>
    <col min="58" max="59" width="17.42578125" hidden="1" customWidth="1"/>
    <col min="60" max="60" width="15.85546875" hidden="1" customWidth="1"/>
    <col min="61" max="61" width="11.5703125" style="1" hidden="1" customWidth="1"/>
    <col min="62" max="62" width="11.7109375" style="1" hidden="1" customWidth="1"/>
    <col min="63" max="63" width="15.85546875" hidden="1" customWidth="1"/>
    <col min="64" max="64" width="9.42578125" hidden="1" customWidth="1"/>
    <col min="65" max="65" width="13" style="1" hidden="1" customWidth="1"/>
    <col min="66" max="66" width="15.85546875" hidden="1" customWidth="1"/>
    <col min="67" max="67" width="9.5703125" hidden="1" customWidth="1"/>
    <col min="68" max="68" width="11" hidden="1" customWidth="1"/>
    <col min="69" max="69" width="15.85546875" hidden="1" customWidth="1"/>
    <col min="70" max="70" width="10.7109375" style="1" hidden="1" customWidth="1"/>
    <col min="71" max="71" width="15.85546875" hidden="1" customWidth="1"/>
    <col min="72" max="72" width="11.85546875" style="1" hidden="1" customWidth="1"/>
    <col min="73" max="73" width="15.85546875" hidden="1" customWidth="1"/>
    <col min="74" max="74" width="12" style="1" hidden="1" customWidth="1"/>
    <col min="75" max="75" width="15.85546875" hidden="1" customWidth="1"/>
    <col min="76" max="76" width="13.42578125" hidden="1" customWidth="1"/>
    <col min="77" max="77" width="15.85546875" hidden="1" customWidth="1"/>
    <col min="78" max="78" width="12.42578125" hidden="1" customWidth="1"/>
    <col min="79" max="79" width="15.85546875" hidden="1" customWidth="1"/>
    <col min="80" max="80" width="12.140625" style="1" hidden="1" customWidth="1"/>
    <col min="81" max="81" width="15.85546875" hidden="1" customWidth="1"/>
    <col min="82" max="82" width="10.85546875" style="1" hidden="1" customWidth="1"/>
    <col min="83" max="87" width="0" hidden="1" customWidth="1"/>
    <col min="88" max="88" width="9.7109375" bestFit="1" customWidth="1"/>
  </cols>
  <sheetData>
    <row r="1" spans="1:88" hidden="1"/>
    <row r="2" spans="1:88" hidden="1"/>
    <row r="3" spans="1:88" hidden="1"/>
    <row r="4" spans="1:88" hidden="1">
      <c r="H4" s="2"/>
    </row>
    <row r="5" spans="1:88" hidden="1">
      <c r="H5" s="2"/>
    </row>
    <row r="6" spans="1:88" hidden="1">
      <c r="H6" s="2"/>
    </row>
    <row r="7" spans="1:88">
      <c r="BG7" s="3"/>
    </row>
    <row r="8" spans="1:88">
      <c r="M8" s="4" t="e">
        <f>#REF!+#REF!+#REF!</f>
        <v>#REF!</v>
      </c>
      <c r="N8" s="4" t="e">
        <f>#REF!+#REF!</f>
        <v>#REF!</v>
      </c>
      <c r="R8" s="4"/>
      <c r="S8" s="5" t="s">
        <v>0</v>
      </c>
      <c r="T8" s="5"/>
      <c r="U8" s="5"/>
      <c r="V8" s="5"/>
      <c r="W8" s="6" t="e">
        <f>#REF!+#REF!+#REF!+#REF!+#REF!</f>
        <v>#REF!</v>
      </c>
      <c r="Y8" s="4" t="e">
        <f>#REF!+#REF!+#REF!+#REF!+#REF!+#REF!</f>
        <v>#REF!</v>
      </c>
      <c r="AA8" s="4">
        <f>R19+U19+X19+AA19+AD19+AG19+AI19+AK19+AM19</f>
        <v>1595412.21</v>
      </c>
      <c r="AB8" s="4"/>
      <c r="AC8" s="4">
        <f>R20+U20+X20+AA20+AD20+AG20+AI20+AK20</f>
        <v>1647936</v>
      </c>
      <c r="BF8">
        <f>SUM(BH20:BH36)</f>
        <v>221463</v>
      </c>
      <c r="BG8" s="3"/>
    </row>
    <row r="9" spans="1:88" ht="33" customHeight="1">
      <c r="A9" s="187" t="s">
        <v>1</v>
      </c>
      <c r="B9" s="187"/>
      <c r="C9" s="187"/>
      <c r="D9" s="187"/>
      <c r="E9" s="187"/>
      <c r="F9" s="187"/>
      <c r="G9" s="187"/>
      <c r="H9" s="187"/>
      <c r="I9" s="187"/>
      <c r="J9" s="187"/>
      <c r="K9" s="4" t="e">
        <f>#REF!+#REF!</f>
        <v>#REF!</v>
      </c>
      <c r="L9" s="4" t="e">
        <f>#REF!+#REF!+#REF!+#REF!+#REF!</f>
        <v>#REF!</v>
      </c>
      <c r="M9" s="4" t="e">
        <f>#REF!-#REF!-#REF!-#REF!</f>
        <v>#REF!</v>
      </c>
      <c r="N9" s="4" t="e">
        <f>#REF!-#REF!-#REF!-#REF!</f>
        <v>#REF!</v>
      </c>
      <c r="Q9" s="4" t="e">
        <f>Q18-#REF!</f>
        <v>#REF!</v>
      </c>
      <c r="R9" s="4"/>
      <c r="S9" s="4"/>
      <c r="T9" s="4"/>
      <c r="U9" s="4"/>
      <c r="V9" s="4" t="e">
        <f>R18+U18+X18+AA18+AD18+AG18+AI18+AK18+AM18+AO18+AQ18+AS18</f>
        <v>#REF!</v>
      </c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BG9" s="3"/>
    </row>
    <row r="10" spans="1:88" ht="24" customHeight="1">
      <c r="I10" s="7"/>
      <c r="M10" s="179" t="s">
        <v>2</v>
      </c>
      <c r="N10" s="180"/>
      <c r="O10" s="180"/>
      <c r="P10" s="180"/>
      <c r="Q10" s="180"/>
      <c r="R10" s="180"/>
      <c r="S10" s="180"/>
      <c r="T10" s="180"/>
      <c r="U10" s="180"/>
      <c r="V10" s="180"/>
      <c r="W10" s="180"/>
      <c r="X10" s="180"/>
      <c r="Y10" s="180"/>
      <c r="Z10" s="180"/>
      <c r="AA10" s="180"/>
      <c r="AB10" s="180"/>
      <c r="AC10" s="180"/>
      <c r="AD10" s="180"/>
      <c r="AE10" s="180"/>
      <c r="AF10" s="180"/>
      <c r="AG10" s="180"/>
      <c r="AH10" s="180"/>
      <c r="AI10" s="180"/>
      <c r="AJ10" s="180"/>
      <c r="AK10" s="180"/>
      <c r="AL10" s="180"/>
      <c r="AM10" s="180"/>
      <c r="AN10" s="180"/>
      <c r="AO10" s="180"/>
      <c r="AP10" s="180"/>
      <c r="AQ10" s="180"/>
      <c r="AR10" s="180"/>
      <c r="AS10" s="180"/>
      <c r="AT10" s="181"/>
      <c r="AU10" s="8"/>
      <c r="AV10" s="8"/>
      <c r="AW10" s="8"/>
      <c r="AX10" s="8"/>
      <c r="AY10" s="8"/>
      <c r="AZ10" s="8"/>
      <c r="BA10" s="8"/>
      <c r="BB10" s="8"/>
      <c r="BC10" s="8"/>
      <c r="BD10" s="8"/>
      <c r="BG10" s="3"/>
      <c r="BH10" s="182" t="s">
        <v>3</v>
      </c>
      <c r="BI10" s="183"/>
      <c r="BJ10" s="183"/>
      <c r="BK10" s="183"/>
      <c r="BL10" s="183"/>
      <c r="BM10" s="183"/>
      <c r="BN10" s="183"/>
      <c r="BO10" s="183"/>
      <c r="BP10" s="183"/>
      <c r="BQ10" s="183"/>
      <c r="BR10" s="183"/>
      <c r="BS10" s="183"/>
      <c r="BT10" s="183"/>
      <c r="BU10" s="183"/>
      <c r="BV10" s="183"/>
      <c r="BW10" s="183"/>
      <c r="BX10" s="183"/>
      <c r="BY10" s="183"/>
      <c r="BZ10" s="183"/>
      <c r="CA10" s="183"/>
      <c r="CB10" s="183"/>
      <c r="CC10" s="184"/>
      <c r="CD10" s="9"/>
    </row>
    <row r="11" spans="1:88" ht="33" customHeight="1">
      <c r="A11" s="199" t="s">
        <v>4</v>
      </c>
      <c r="B11" s="199" t="s">
        <v>5</v>
      </c>
      <c r="C11" s="199" t="s">
        <v>6</v>
      </c>
      <c r="D11" s="199" t="s">
        <v>7</v>
      </c>
      <c r="E11" s="199" t="s">
        <v>222</v>
      </c>
      <c r="F11" s="199" t="s">
        <v>224</v>
      </c>
      <c r="G11" s="199" t="s">
        <v>8</v>
      </c>
      <c r="H11" s="199" t="s">
        <v>9</v>
      </c>
      <c r="I11" s="199" t="s">
        <v>10</v>
      </c>
      <c r="J11" s="199" t="s">
        <v>11</v>
      </c>
      <c r="K11" s="10" t="s">
        <v>12</v>
      </c>
      <c r="L11" s="10" t="s">
        <v>13</v>
      </c>
      <c r="M11" s="11">
        <v>2019</v>
      </c>
      <c r="N11" s="12" t="s">
        <v>14</v>
      </c>
      <c r="O11" s="12" t="s">
        <v>15</v>
      </c>
      <c r="P11" s="12"/>
      <c r="Q11" s="13" t="s">
        <v>16</v>
      </c>
      <c r="R11" s="11">
        <v>2020</v>
      </c>
      <c r="S11" s="12" t="s">
        <v>17</v>
      </c>
      <c r="T11" s="12" t="s">
        <v>18</v>
      </c>
      <c r="U11" s="11">
        <v>2021</v>
      </c>
      <c r="V11" s="12" t="s">
        <v>17</v>
      </c>
      <c r="W11" s="12" t="s">
        <v>19</v>
      </c>
      <c r="X11" s="11">
        <v>2022</v>
      </c>
      <c r="Y11" s="12" t="s">
        <v>17</v>
      </c>
      <c r="Z11" s="12" t="s">
        <v>20</v>
      </c>
      <c r="AA11" s="11">
        <v>2023</v>
      </c>
      <c r="AB11" s="12" t="s">
        <v>21</v>
      </c>
      <c r="AC11" s="12" t="s">
        <v>22</v>
      </c>
      <c r="AD11" s="11">
        <v>2024</v>
      </c>
      <c r="AE11" s="12" t="s">
        <v>23</v>
      </c>
      <c r="AF11" s="12" t="s">
        <v>24</v>
      </c>
      <c r="AG11" s="11">
        <v>2025</v>
      </c>
      <c r="AH11" s="12" t="s">
        <v>25</v>
      </c>
      <c r="AI11" s="11">
        <v>2026</v>
      </c>
      <c r="AJ11" s="12" t="s">
        <v>26</v>
      </c>
      <c r="AK11" s="11">
        <v>2027</v>
      </c>
      <c r="AL11" s="12" t="s">
        <v>27</v>
      </c>
      <c r="AM11" s="11">
        <v>2028</v>
      </c>
      <c r="AN11" s="12" t="s">
        <v>28</v>
      </c>
      <c r="AO11" s="11">
        <v>2029</v>
      </c>
      <c r="AP11" s="12" t="s">
        <v>29</v>
      </c>
      <c r="AQ11" s="12">
        <v>2030</v>
      </c>
      <c r="AR11" s="12" t="s">
        <v>30</v>
      </c>
      <c r="AS11" s="11">
        <v>2031</v>
      </c>
      <c r="AT11" s="12" t="s">
        <v>31</v>
      </c>
      <c r="AU11" s="11">
        <v>2032</v>
      </c>
      <c r="AV11" s="12" t="s">
        <v>32</v>
      </c>
      <c r="AW11" s="11">
        <v>2033</v>
      </c>
      <c r="AX11" s="12" t="s">
        <v>33</v>
      </c>
      <c r="AY11" s="11">
        <v>2034</v>
      </c>
      <c r="AZ11" s="11">
        <v>2035</v>
      </c>
      <c r="BA11" s="11">
        <v>2036</v>
      </c>
      <c r="BB11" s="11">
        <v>2037</v>
      </c>
      <c r="BC11" s="11">
        <v>2038</v>
      </c>
      <c r="BD11" s="11">
        <v>2039</v>
      </c>
      <c r="BF11" s="14" t="s">
        <v>34</v>
      </c>
      <c r="BG11" s="15"/>
      <c r="BH11" s="11">
        <v>2020</v>
      </c>
      <c r="BI11" s="16" t="s">
        <v>35</v>
      </c>
      <c r="BJ11" s="16" t="s">
        <v>36</v>
      </c>
      <c r="BK11" s="11">
        <v>2021</v>
      </c>
      <c r="BL11" s="16" t="s">
        <v>37</v>
      </c>
      <c r="BM11" s="16" t="s">
        <v>38</v>
      </c>
      <c r="BN11" s="11">
        <v>2022</v>
      </c>
      <c r="BO11" s="16" t="s">
        <v>39</v>
      </c>
      <c r="BP11" s="16" t="s">
        <v>40</v>
      </c>
      <c r="BQ11" s="11">
        <v>2023</v>
      </c>
      <c r="BR11" s="16" t="s">
        <v>41</v>
      </c>
      <c r="BS11" s="11">
        <v>2024</v>
      </c>
      <c r="BT11" s="16" t="s">
        <v>42</v>
      </c>
      <c r="BU11" s="11">
        <v>2025</v>
      </c>
      <c r="BV11" s="16" t="s">
        <v>43</v>
      </c>
      <c r="BW11" s="11">
        <v>2026</v>
      </c>
      <c r="BX11" s="16" t="s">
        <v>44</v>
      </c>
      <c r="BY11" s="11">
        <v>2027</v>
      </c>
      <c r="BZ11" s="16" t="s">
        <v>45</v>
      </c>
      <c r="CA11" s="11">
        <v>2028</v>
      </c>
      <c r="CB11" s="16" t="s">
        <v>46</v>
      </c>
      <c r="CC11" s="11">
        <v>2029</v>
      </c>
      <c r="CD11" s="16" t="s">
        <v>47</v>
      </c>
      <c r="CE11" s="11">
        <v>2030</v>
      </c>
      <c r="CF11" s="16" t="s">
        <v>48</v>
      </c>
      <c r="CG11" s="11">
        <v>2031</v>
      </c>
      <c r="CH11" s="16" t="s">
        <v>49</v>
      </c>
    </row>
    <row r="12" spans="1:88" ht="15" customHeight="1">
      <c r="A12" s="197">
        <v>1</v>
      </c>
      <c r="B12" s="175"/>
      <c r="C12" s="175"/>
      <c r="D12" s="175" t="s">
        <v>67</v>
      </c>
      <c r="E12" s="175" t="s">
        <v>223</v>
      </c>
      <c r="F12" s="190">
        <v>44916</v>
      </c>
      <c r="G12" s="175" t="s">
        <v>228</v>
      </c>
      <c r="H12" s="176">
        <v>1046113.31</v>
      </c>
      <c r="I12" s="175"/>
      <c r="J12" s="188" t="s">
        <v>229</v>
      </c>
      <c r="K12" s="172"/>
      <c r="L12" s="172"/>
      <c r="M12" s="11"/>
      <c r="N12" s="12"/>
      <c r="O12" s="12"/>
      <c r="P12" s="12"/>
      <c r="Q12" s="13"/>
      <c r="R12" s="11"/>
      <c r="S12" s="12"/>
      <c r="T12" s="12"/>
      <c r="U12" s="11"/>
      <c r="V12" s="12"/>
      <c r="W12" s="12"/>
      <c r="X12" s="11"/>
      <c r="Y12" s="12"/>
      <c r="Z12" s="12"/>
      <c r="AA12" s="11"/>
      <c r="AB12" s="12"/>
      <c r="AC12" s="12"/>
      <c r="AD12" s="11"/>
      <c r="AE12" s="12"/>
      <c r="AF12" s="12"/>
      <c r="AG12" s="11"/>
      <c r="AH12" s="12"/>
      <c r="AI12" s="11"/>
      <c r="AJ12" s="12"/>
      <c r="AK12" s="11"/>
      <c r="AL12" s="12"/>
      <c r="AM12" s="11"/>
      <c r="AN12" s="12"/>
      <c r="AO12" s="11"/>
      <c r="AP12" s="12"/>
      <c r="AQ12" s="12"/>
      <c r="AR12" s="12"/>
      <c r="AS12" s="11"/>
      <c r="AT12" s="173"/>
      <c r="AU12" s="11"/>
      <c r="AV12" s="12"/>
      <c r="AW12" s="11"/>
      <c r="AX12" s="173"/>
      <c r="AY12" s="174"/>
      <c r="AZ12" s="174"/>
      <c r="BA12" s="174"/>
      <c r="BB12" s="174"/>
      <c r="BC12" s="174"/>
      <c r="BD12" s="174"/>
      <c r="BF12" s="14"/>
      <c r="BG12" s="15"/>
      <c r="BH12" s="11"/>
      <c r="BI12" s="16"/>
      <c r="BJ12" s="16"/>
      <c r="BK12" s="11"/>
      <c r="BL12" s="16"/>
      <c r="BM12" s="16"/>
      <c r="BN12" s="11"/>
      <c r="BO12" s="16"/>
      <c r="BP12" s="16"/>
      <c r="BQ12" s="11"/>
      <c r="BR12" s="16"/>
      <c r="BS12" s="11"/>
      <c r="BT12" s="16"/>
      <c r="BU12" s="11"/>
      <c r="BV12" s="16"/>
      <c r="BW12" s="11"/>
      <c r="BX12" s="16"/>
      <c r="BY12" s="11"/>
      <c r="BZ12" s="16"/>
      <c r="CA12" s="11"/>
      <c r="CB12" s="16"/>
      <c r="CC12" s="11"/>
      <c r="CD12" s="16"/>
      <c r="CE12" s="11"/>
      <c r="CF12" s="16"/>
      <c r="CG12" s="11"/>
      <c r="CH12" s="16"/>
    </row>
    <row r="13" spans="1:88" ht="15" customHeight="1">
      <c r="A13" s="197">
        <v>2</v>
      </c>
      <c r="B13" s="17"/>
      <c r="C13" s="17"/>
      <c r="D13" s="17" t="s">
        <v>71</v>
      </c>
      <c r="E13" s="17" t="s">
        <v>223</v>
      </c>
      <c r="F13" s="190">
        <v>44770</v>
      </c>
      <c r="G13" s="17" t="s">
        <v>226</v>
      </c>
      <c r="H13" s="176">
        <v>4452572.3</v>
      </c>
      <c r="I13" s="17"/>
      <c r="J13" s="188" t="s">
        <v>227</v>
      </c>
      <c r="K13" s="172"/>
      <c r="L13" s="172"/>
      <c r="M13" s="11"/>
      <c r="N13" s="12"/>
      <c r="O13" s="12"/>
      <c r="P13" s="12"/>
      <c r="Q13" s="13"/>
      <c r="R13" s="11"/>
      <c r="S13" s="12"/>
      <c r="T13" s="12"/>
      <c r="U13" s="11"/>
      <c r="V13" s="12"/>
      <c r="W13" s="12"/>
      <c r="X13" s="11"/>
      <c r="Y13" s="12"/>
      <c r="Z13" s="12"/>
      <c r="AA13" s="11"/>
      <c r="AB13" s="12"/>
      <c r="AC13" s="12"/>
      <c r="AD13" s="11"/>
      <c r="AE13" s="12"/>
      <c r="AF13" s="12"/>
      <c r="AG13" s="11"/>
      <c r="AH13" s="12"/>
      <c r="AI13" s="11"/>
      <c r="AJ13" s="12"/>
      <c r="AK13" s="11"/>
      <c r="AL13" s="12"/>
      <c r="AM13" s="11"/>
      <c r="AN13" s="12"/>
      <c r="AO13" s="11"/>
      <c r="AP13" s="12"/>
      <c r="AQ13" s="12"/>
      <c r="AR13" s="12"/>
      <c r="AS13" s="11"/>
      <c r="AT13" s="173"/>
      <c r="AU13" s="11"/>
      <c r="AV13" s="12"/>
      <c r="AW13" s="11"/>
      <c r="AX13" s="173"/>
      <c r="AY13" s="174"/>
      <c r="AZ13" s="174"/>
      <c r="BA13" s="174"/>
      <c r="BB13" s="174"/>
      <c r="BC13" s="174"/>
      <c r="BD13" s="174"/>
      <c r="BF13" s="14"/>
      <c r="BG13" s="15"/>
      <c r="BH13" s="11"/>
      <c r="BI13" s="16"/>
      <c r="BJ13" s="16"/>
      <c r="BK13" s="11"/>
      <c r="BL13" s="16"/>
      <c r="BM13" s="16"/>
      <c r="BN13" s="11"/>
      <c r="BO13" s="16"/>
      <c r="BP13" s="16"/>
      <c r="BQ13" s="11"/>
      <c r="BR13" s="16"/>
      <c r="BS13" s="11"/>
      <c r="BT13" s="16"/>
      <c r="BU13" s="11"/>
      <c r="BV13" s="16"/>
      <c r="BW13" s="11"/>
      <c r="BX13" s="16"/>
      <c r="BY13" s="11"/>
      <c r="BZ13" s="16"/>
      <c r="CA13" s="11"/>
      <c r="CB13" s="16"/>
      <c r="CC13" s="11"/>
      <c r="CD13" s="16"/>
      <c r="CE13" s="11"/>
      <c r="CF13" s="16"/>
      <c r="CG13" s="11"/>
      <c r="CH13" s="16"/>
    </row>
    <row r="14" spans="1:88" ht="15" customHeight="1">
      <c r="A14" s="197">
        <v>3</v>
      </c>
      <c r="B14" s="189" t="s">
        <v>50</v>
      </c>
      <c r="C14" s="189"/>
      <c r="D14" s="189" t="s">
        <v>51</v>
      </c>
      <c r="E14" s="189" t="s">
        <v>223</v>
      </c>
      <c r="F14" s="190">
        <v>44487</v>
      </c>
      <c r="G14" s="189" t="s">
        <v>225</v>
      </c>
      <c r="H14" s="191">
        <v>501030.97</v>
      </c>
      <c r="I14" s="189"/>
      <c r="J14" s="188" t="s">
        <v>52</v>
      </c>
      <c r="K14" s="18" t="e">
        <f>#REF!+#REF!+#REF!+#REF!+#REF!</f>
        <v>#REF!</v>
      </c>
      <c r="L14" s="18" t="e">
        <f>X14+AA14+AD14+AG14+AI14+AK14+AM14+AO14+AQ14+AS14+AU14+AW14</f>
        <v>#REF!</v>
      </c>
      <c r="M14" s="11"/>
      <c r="N14" s="12"/>
      <c r="O14" s="12"/>
      <c r="P14" s="12"/>
      <c r="Q14" s="19" t="e">
        <f>X14+AA14+AD14+AG14+AI14+AK14+AM14+AO14+AQ14+AS14+AU14+AW14</f>
        <v>#REF!</v>
      </c>
      <c r="R14" s="11"/>
      <c r="S14" s="12"/>
      <c r="T14" s="12"/>
      <c r="U14" s="11"/>
      <c r="V14" s="12"/>
      <c r="W14" s="12"/>
      <c r="X14" s="20" t="e">
        <f>#REF!+#REF!+#REF!+#REF!</f>
        <v>#REF!</v>
      </c>
      <c r="Y14" s="21" t="e">
        <f>#REF!</f>
        <v>#REF!</v>
      </c>
      <c r="Z14" s="21" t="e">
        <f>#REF!</f>
        <v>#REF!</v>
      </c>
      <c r="AA14" s="20" t="e">
        <f>#REF!+#REF!+#REF!</f>
        <v>#REF!</v>
      </c>
      <c r="AB14" s="12"/>
      <c r="AC14" s="12"/>
      <c r="AD14" s="20" t="e">
        <f>#REF!+#REF!+#REF!+#REF!</f>
        <v>#REF!</v>
      </c>
      <c r="AE14" s="20"/>
      <c r="AF14" s="12"/>
      <c r="AG14" s="20" t="e">
        <f>#REF!+#REF!+#REF!+#REF!</f>
        <v>#REF!</v>
      </c>
      <c r="AH14" s="12"/>
      <c r="AI14" s="20" t="e">
        <f>#REF!+#REF!+#REF!+#REF!</f>
        <v>#REF!</v>
      </c>
      <c r="AJ14" s="12"/>
      <c r="AK14" s="20" t="e">
        <f>#REF!+#REF!+#REF!+#REF!</f>
        <v>#REF!</v>
      </c>
      <c r="AL14" s="12"/>
      <c r="AM14" s="20" t="e">
        <f>#REF!+#REF!+#REF!+#REF!</f>
        <v>#REF!</v>
      </c>
      <c r="AN14" s="12"/>
      <c r="AO14" s="20" t="e">
        <f>#REF!+#REF!+#REF!+#REF!</f>
        <v>#REF!</v>
      </c>
      <c r="AP14" s="12"/>
      <c r="AQ14" s="21" t="e">
        <f>#REF!+#REF!+#REF!+#REF!</f>
        <v>#REF!</v>
      </c>
      <c r="AR14" s="12"/>
      <c r="AS14" s="20" t="e">
        <f>#REF!+#REF!+#REF!+#REF!</f>
        <v>#REF!</v>
      </c>
      <c r="AT14" s="22"/>
      <c r="AU14" s="20" t="e">
        <f>#REF!+#REF!+#REF!+#REF!</f>
        <v>#REF!</v>
      </c>
      <c r="AV14" s="12"/>
      <c r="AW14" s="20" t="e">
        <f>#REF!+#REF!+#REF!+#REF!</f>
        <v>#REF!</v>
      </c>
      <c r="AX14" s="22"/>
      <c r="AY14" s="22"/>
      <c r="AZ14" s="22"/>
      <c r="BA14" s="22"/>
      <c r="BB14" s="22"/>
      <c r="BC14" s="22"/>
      <c r="BD14" s="22"/>
      <c r="BF14" s="14"/>
      <c r="BG14" s="15"/>
      <c r="BH14" s="11"/>
      <c r="BI14" s="16"/>
      <c r="BJ14" s="16"/>
      <c r="BK14" s="11"/>
      <c r="BL14" s="16"/>
      <c r="BM14" s="16"/>
      <c r="BN14" s="11"/>
      <c r="BO14" s="16"/>
      <c r="BP14" s="16"/>
      <c r="BQ14" s="11"/>
      <c r="BR14" s="16"/>
      <c r="BS14" s="11"/>
      <c r="BT14" s="16"/>
      <c r="BU14" s="11"/>
      <c r="BV14" s="16"/>
      <c r="BW14" s="11"/>
      <c r="BX14" s="16"/>
      <c r="BY14" s="11"/>
      <c r="BZ14" s="16"/>
      <c r="CA14" s="11"/>
      <c r="CB14" s="16"/>
      <c r="CC14" s="11"/>
      <c r="CD14" s="16"/>
      <c r="CE14" s="11"/>
      <c r="CF14" s="16"/>
      <c r="CG14" s="11"/>
      <c r="CH14" s="16"/>
      <c r="CJ14" s="186"/>
    </row>
    <row r="15" spans="1:88" ht="15" customHeight="1">
      <c r="A15" s="197">
        <v>4</v>
      </c>
      <c r="B15" s="17" t="s">
        <v>53</v>
      </c>
      <c r="C15" s="17" t="s">
        <v>54</v>
      </c>
      <c r="D15" s="175" t="s">
        <v>55</v>
      </c>
      <c r="E15" s="17" t="s">
        <v>175</v>
      </c>
      <c r="F15" s="190">
        <v>44540</v>
      </c>
      <c r="G15" s="27">
        <v>1.5E-3</v>
      </c>
      <c r="H15" s="176">
        <v>428100</v>
      </c>
      <c r="I15" s="17"/>
      <c r="J15" s="188" t="s">
        <v>56</v>
      </c>
      <c r="K15" s="28">
        <f>X15+AA15+AD15+AG15+AI15+AK15+AM15+AO15+AQ15+AS15+AU15+AW15</f>
        <v>428100</v>
      </c>
      <c r="L15" s="28" t="s">
        <v>57</v>
      </c>
      <c r="M15" s="20"/>
      <c r="N15" s="29"/>
      <c r="O15" s="21"/>
      <c r="P15" s="21"/>
      <c r="Q15" s="19">
        <f t="shared" ref="Q15" si="0">X15+AA15+AD15+AG15+AI15+AK15+AM15+AO15+AQ15+AS15+AU15+AW15</f>
        <v>428100</v>
      </c>
      <c r="R15" s="20"/>
      <c r="S15" s="29"/>
      <c r="T15" s="29"/>
      <c r="U15" s="20"/>
      <c r="V15" s="20"/>
      <c r="W15" s="29"/>
      <c r="X15" s="20">
        <f>35675-20000</f>
        <v>15675</v>
      </c>
      <c r="Y15" s="21"/>
      <c r="Z15" s="29"/>
      <c r="AA15" s="20">
        <f>35675-20000</f>
        <v>15675</v>
      </c>
      <c r="AB15" s="20"/>
      <c r="AC15" s="29"/>
      <c r="AD15" s="20">
        <f>35675+4000</f>
        <v>39675</v>
      </c>
      <c r="AE15" s="20"/>
      <c r="AF15" s="29"/>
      <c r="AG15" s="20">
        <f>35675+4000</f>
        <v>39675</v>
      </c>
      <c r="AH15" s="29"/>
      <c r="AI15" s="20">
        <f>35675+4000</f>
        <v>39675</v>
      </c>
      <c r="AJ15" s="29"/>
      <c r="AK15" s="20">
        <f>35675+4000</f>
        <v>39675</v>
      </c>
      <c r="AL15" s="29"/>
      <c r="AM15" s="20">
        <f>35675+4000</f>
        <v>39675</v>
      </c>
      <c r="AN15" s="29"/>
      <c r="AO15" s="20">
        <f>35675+4000</f>
        <v>39675</v>
      </c>
      <c r="AP15" s="29"/>
      <c r="AQ15" s="20">
        <f>35675+4000</f>
        <v>39675</v>
      </c>
      <c r="AR15" s="29"/>
      <c r="AS15" s="20">
        <f>35675+4000</f>
        <v>39675</v>
      </c>
      <c r="AT15" s="30"/>
      <c r="AU15" s="20">
        <f>35675+4000</f>
        <v>39675</v>
      </c>
      <c r="AV15" s="29"/>
      <c r="AW15" s="20">
        <f>35675+4000</f>
        <v>39675</v>
      </c>
      <c r="AX15" s="22"/>
      <c r="AY15" s="22"/>
      <c r="AZ15" s="22"/>
      <c r="BA15" s="22"/>
      <c r="BB15" s="22"/>
      <c r="BC15" s="22"/>
      <c r="BD15" s="22"/>
      <c r="BF15" s="14"/>
      <c r="BG15" s="15"/>
      <c r="BH15" s="11"/>
      <c r="BI15" s="16"/>
      <c r="BJ15" s="16"/>
      <c r="BK15" s="11"/>
      <c r="BL15" s="16"/>
      <c r="BM15" s="16"/>
      <c r="BN15" s="11"/>
      <c r="BO15" s="16"/>
      <c r="BP15" s="16"/>
      <c r="BQ15" s="11"/>
      <c r="BR15" s="16"/>
      <c r="BS15" s="11"/>
      <c r="BT15" s="16"/>
      <c r="BU15" s="11"/>
      <c r="BV15" s="16"/>
      <c r="BW15" s="11"/>
      <c r="BX15" s="16"/>
      <c r="BY15" s="11"/>
      <c r="BZ15" s="16"/>
      <c r="CA15" s="11"/>
      <c r="CB15" s="16"/>
      <c r="CC15" s="11"/>
      <c r="CD15" s="16"/>
      <c r="CE15" s="11"/>
      <c r="CF15" s="16"/>
      <c r="CG15" s="11"/>
      <c r="CH15" s="16"/>
    </row>
    <row r="16" spans="1:88" ht="15" customHeight="1">
      <c r="A16" s="197">
        <v>5</v>
      </c>
      <c r="B16" s="175" t="s">
        <v>58</v>
      </c>
      <c r="C16" s="175" t="s">
        <v>59</v>
      </c>
      <c r="D16" s="189" t="s">
        <v>60</v>
      </c>
      <c r="E16" s="189" t="s">
        <v>223</v>
      </c>
      <c r="F16" s="190">
        <v>44302</v>
      </c>
      <c r="G16" s="189" t="s">
        <v>61</v>
      </c>
      <c r="H16" s="191">
        <v>2301515.9900000002</v>
      </c>
      <c r="I16" s="189"/>
      <c r="J16" s="188" t="s">
        <v>62</v>
      </c>
      <c r="K16" s="31" t="e">
        <f>#REF!+#REF!+#REF!+#REF!</f>
        <v>#REF!</v>
      </c>
      <c r="L16" s="32">
        <v>48944</v>
      </c>
      <c r="M16" s="11"/>
      <c r="N16" s="12"/>
      <c r="O16" s="12"/>
      <c r="P16" s="12"/>
      <c r="Q16" s="19" t="e">
        <f>X16+AA16+AD16+AG16+AI16+AK16+AM16+AO16+AQ16+AS16+AU16+AW16</f>
        <v>#REF!</v>
      </c>
      <c r="R16" s="11"/>
      <c r="S16" s="12"/>
      <c r="T16" s="12"/>
      <c r="U16" s="11"/>
      <c r="V16" s="12"/>
      <c r="W16" s="12"/>
      <c r="X16" s="20" t="e">
        <f>#REF!+#REF!+#REF!</f>
        <v>#REF!</v>
      </c>
      <c r="Y16" s="21" t="e">
        <f>#REF!+#REF!</f>
        <v>#REF!</v>
      </c>
      <c r="Z16" s="21" t="e">
        <f>#REF!</f>
        <v>#REF!</v>
      </c>
      <c r="AA16" s="20" t="e">
        <f>#REF!+#REF!+#REF!+#REF!</f>
        <v>#REF!</v>
      </c>
      <c r="AB16" s="12"/>
      <c r="AC16" s="21" t="e">
        <f>#REF!</f>
        <v>#REF!</v>
      </c>
      <c r="AD16" s="20" t="e">
        <f>#REF!+#REF!+#REF!+#REF!</f>
        <v>#REF!</v>
      </c>
      <c r="AE16" s="20"/>
      <c r="AF16" s="21" t="e">
        <f>#REF!</f>
        <v>#REF!</v>
      </c>
      <c r="AG16" s="20" t="e">
        <f>#REF!+#REF!+#REF!</f>
        <v>#REF!</v>
      </c>
      <c r="AH16" s="21" t="e">
        <f>#REF!</f>
        <v>#REF!</v>
      </c>
      <c r="AI16" s="20" t="e">
        <f>#REF!+#REF!+#REF!</f>
        <v>#REF!</v>
      </c>
      <c r="AJ16" s="21" t="e">
        <f>#REF!</f>
        <v>#REF!</v>
      </c>
      <c r="AK16" s="20" t="e">
        <f>#REF!+#REF!+#REF!</f>
        <v>#REF!</v>
      </c>
      <c r="AL16" s="21" t="e">
        <f>#REF!</f>
        <v>#REF!</v>
      </c>
      <c r="AM16" s="20" t="e">
        <f>#REF!+#REF!+#REF!</f>
        <v>#REF!</v>
      </c>
      <c r="AN16" s="21" t="e">
        <f>#REF!</f>
        <v>#REF!</v>
      </c>
      <c r="AO16" s="20" t="e">
        <f>#REF!+#REF!+#REF!</f>
        <v>#REF!</v>
      </c>
      <c r="AP16" s="21" t="e">
        <f>#REF!</f>
        <v>#REF!</v>
      </c>
      <c r="AQ16" s="21" t="e">
        <f>#REF!+#REF!+#REF!</f>
        <v>#REF!</v>
      </c>
      <c r="AR16" s="21" t="e">
        <f>#REF!</f>
        <v>#REF!</v>
      </c>
      <c r="AS16" s="20" t="e">
        <f>#REF!+#REF!+#REF!</f>
        <v>#REF!</v>
      </c>
      <c r="AT16" s="21" t="e">
        <f>#REF!</f>
        <v>#REF!</v>
      </c>
      <c r="AU16" s="20" t="e">
        <f>#REF!</f>
        <v>#REF!</v>
      </c>
      <c r="AV16" s="12"/>
      <c r="AW16" s="20" t="e">
        <f>#REF!</f>
        <v>#REF!</v>
      </c>
      <c r="AX16" s="22"/>
      <c r="AY16" s="22"/>
      <c r="AZ16" s="22"/>
      <c r="BA16" s="22"/>
      <c r="BB16" s="22"/>
      <c r="BC16" s="22"/>
      <c r="BD16" s="22"/>
      <c r="BF16" s="14"/>
      <c r="BG16" s="15"/>
      <c r="BH16" s="11"/>
      <c r="BI16" s="16"/>
      <c r="BJ16" s="16"/>
      <c r="BK16" s="11"/>
      <c r="BL16" s="16"/>
      <c r="BM16" s="16"/>
      <c r="BN16" s="11"/>
      <c r="BO16" s="16"/>
      <c r="BP16" s="16"/>
      <c r="BQ16" s="11"/>
      <c r="BR16" s="16"/>
      <c r="BS16" s="11"/>
      <c r="BT16" s="16"/>
      <c r="BU16" s="11"/>
      <c r="BV16" s="16"/>
      <c r="BW16" s="11"/>
      <c r="BX16" s="16"/>
      <c r="BY16" s="11"/>
      <c r="BZ16" s="16"/>
      <c r="CA16" s="11"/>
      <c r="CB16" s="16"/>
      <c r="CC16" s="11"/>
      <c r="CD16" s="16"/>
      <c r="CE16" s="11"/>
      <c r="CF16" s="16"/>
      <c r="CG16" s="11"/>
      <c r="CH16" s="16"/>
      <c r="CJ16" s="186"/>
    </row>
    <row r="17" spans="1:88" ht="15" customHeight="1">
      <c r="A17" s="197">
        <v>6</v>
      </c>
      <c r="B17" s="17" t="s">
        <v>65</v>
      </c>
      <c r="C17" s="17" t="s">
        <v>66</v>
      </c>
      <c r="D17" s="17" t="s">
        <v>67</v>
      </c>
      <c r="E17" s="17" t="s">
        <v>223</v>
      </c>
      <c r="F17" s="190">
        <v>44182</v>
      </c>
      <c r="G17" s="17" t="s">
        <v>68</v>
      </c>
      <c r="H17" s="20">
        <v>374302</v>
      </c>
      <c r="I17" s="17"/>
      <c r="J17" s="188" t="s">
        <v>69</v>
      </c>
      <c r="K17" s="31">
        <f>X17+AA17+AD17+AG17+AI17+AK17+AM17+AO17+AQ17+AS17</f>
        <v>374302.00000000006</v>
      </c>
      <c r="L17" s="32">
        <v>48213</v>
      </c>
      <c r="M17" s="11"/>
      <c r="N17" s="12"/>
      <c r="O17" s="12"/>
      <c r="P17" s="12"/>
      <c r="Q17" s="19">
        <f t="shared" ref="Q17:Q31" si="1">X17+AA17+AD17+AG17+AI17+AK17+AM17+AO17+AQ17+AS17+AU17+AW17</f>
        <v>374302.00000000006</v>
      </c>
      <c r="R17" s="11"/>
      <c r="S17" s="12"/>
      <c r="T17" s="12"/>
      <c r="U17" s="11"/>
      <c r="V17" s="12"/>
      <c r="W17" s="12"/>
      <c r="X17" s="33">
        <v>37430.199999999997</v>
      </c>
      <c r="Y17" s="12"/>
      <c r="Z17" s="12"/>
      <c r="AA17" s="33">
        <v>37430.199999999997</v>
      </c>
      <c r="AB17" s="12"/>
      <c r="AC17" s="12"/>
      <c r="AD17" s="33">
        <v>37430.199999999997</v>
      </c>
      <c r="AE17" s="33"/>
      <c r="AF17" s="12"/>
      <c r="AG17" s="33">
        <v>37430.199999999997</v>
      </c>
      <c r="AH17" s="12"/>
      <c r="AI17" s="33">
        <v>37430.199999999997</v>
      </c>
      <c r="AJ17" s="12"/>
      <c r="AK17" s="33">
        <v>37430.199999999997</v>
      </c>
      <c r="AL17" s="12"/>
      <c r="AM17" s="33">
        <v>37430.199999999997</v>
      </c>
      <c r="AN17" s="12"/>
      <c r="AO17" s="33">
        <v>37430.199999999997</v>
      </c>
      <c r="AP17" s="12"/>
      <c r="AQ17" s="33">
        <v>37430.199999999997</v>
      </c>
      <c r="AR17" s="12"/>
      <c r="AS17" s="33">
        <v>37430.199999999997</v>
      </c>
      <c r="AT17" s="12"/>
      <c r="AU17" s="11"/>
      <c r="AV17" s="12"/>
      <c r="AW17" s="11"/>
      <c r="AX17" s="22"/>
      <c r="AY17" s="22"/>
      <c r="AZ17" s="22"/>
      <c r="BA17" s="22"/>
      <c r="BB17" s="22"/>
      <c r="BC17" s="22"/>
      <c r="BD17" s="22"/>
      <c r="BF17" s="14"/>
      <c r="BG17" s="15"/>
      <c r="BH17" s="11"/>
      <c r="BI17" s="16"/>
      <c r="BJ17" s="16"/>
      <c r="BK17" s="11"/>
      <c r="BL17" s="16"/>
      <c r="BM17" s="16"/>
      <c r="BN17" s="11"/>
      <c r="BO17" s="16"/>
      <c r="BP17" s="16"/>
      <c r="BQ17" s="11"/>
      <c r="BR17" s="16"/>
      <c r="BS17" s="11"/>
      <c r="BT17" s="16"/>
      <c r="BU17" s="11"/>
      <c r="BV17" s="16"/>
      <c r="BW17" s="11"/>
      <c r="BX17" s="16"/>
      <c r="BY17" s="11"/>
      <c r="BZ17" s="16"/>
      <c r="CA17" s="11"/>
      <c r="CB17" s="16"/>
      <c r="CC17" s="11"/>
      <c r="CD17" s="16"/>
      <c r="CE17" s="11"/>
      <c r="CF17" s="16"/>
      <c r="CG17" s="11"/>
      <c r="CH17" s="16"/>
    </row>
    <row r="18" spans="1:88" ht="15" customHeight="1">
      <c r="A18" s="197">
        <v>7</v>
      </c>
      <c r="B18" s="189" t="s">
        <v>70</v>
      </c>
      <c r="C18" s="189"/>
      <c r="D18" s="189" t="s">
        <v>71</v>
      </c>
      <c r="E18" s="189" t="s">
        <v>223</v>
      </c>
      <c r="F18" s="190">
        <v>43937</v>
      </c>
      <c r="G18" s="189" t="s">
        <v>72</v>
      </c>
      <c r="H18" s="177">
        <v>5002256.8</v>
      </c>
      <c r="I18" s="189"/>
      <c r="J18" s="188" t="s">
        <v>73</v>
      </c>
      <c r="K18" s="31" t="e">
        <f t="shared" ref="K18" si="2">R18+U18+X18+AA18+AD18+AG18+AI18+AK18+AM18+AO18+AQ18+AS18</f>
        <v>#REF!</v>
      </c>
      <c r="L18" s="32">
        <v>48213</v>
      </c>
      <c r="M18" s="11"/>
      <c r="N18" s="12"/>
      <c r="O18" s="12"/>
      <c r="P18" s="12"/>
      <c r="Q18" s="25" t="e">
        <f t="shared" si="1"/>
        <v>#REF!</v>
      </c>
      <c r="R18" s="20" t="e">
        <f>#REF!</f>
        <v>#REF!</v>
      </c>
      <c r="S18" s="21" t="e">
        <f>#REF!</f>
        <v>#REF!</v>
      </c>
      <c r="T18" s="12"/>
      <c r="U18" s="20" t="e">
        <f>#REF!+#REF!+#REF!</f>
        <v>#REF!</v>
      </c>
      <c r="V18" s="21" t="e">
        <f>#REF!+#REF!</f>
        <v>#REF!</v>
      </c>
      <c r="W18" s="21" t="e">
        <f>#REF!+#REF!</f>
        <v>#REF!</v>
      </c>
      <c r="X18" s="20" t="e">
        <f>#REF!+#REF!</f>
        <v>#REF!</v>
      </c>
      <c r="Y18" s="12" t="e">
        <f>#REF!</f>
        <v>#REF!</v>
      </c>
      <c r="Z18" s="21" t="e">
        <f>#REF!</f>
        <v>#REF!</v>
      </c>
      <c r="AA18" s="20" t="e">
        <f>#REF!+#REF!+#REF!+#REF!+#REF!</f>
        <v>#REF!</v>
      </c>
      <c r="AB18" s="12"/>
      <c r="AC18" s="21" t="e">
        <f>#REF!</f>
        <v>#REF!</v>
      </c>
      <c r="AD18" s="20" t="e">
        <f>#REF!+#REF!+#REF!+#REF!+#REF!</f>
        <v>#REF!</v>
      </c>
      <c r="AE18" s="20"/>
      <c r="AF18" s="21" t="e">
        <f>#REF!</f>
        <v>#REF!</v>
      </c>
      <c r="AG18" s="20" t="e">
        <f>#REF!+#REF!+#REF!+#REF!+#REF!</f>
        <v>#REF!</v>
      </c>
      <c r="AH18" s="21" t="e">
        <f>#REF!</f>
        <v>#REF!</v>
      </c>
      <c r="AI18" s="20" t="e">
        <f>#REF!+#REF!+#REF!+#REF!+#REF!</f>
        <v>#REF!</v>
      </c>
      <c r="AJ18" s="21" t="e">
        <f>#REF!</f>
        <v>#REF!</v>
      </c>
      <c r="AK18" s="20" t="e">
        <f>#REF!+#REF!+#REF!+#REF!+#REF!</f>
        <v>#REF!</v>
      </c>
      <c r="AL18" s="21" t="e">
        <f>#REF!</f>
        <v>#REF!</v>
      </c>
      <c r="AM18" s="20" t="e">
        <f>#REF!+#REF!+#REF!+#REF!+#REF!</f>
        <v>#REF!</v>
      </c>
      <c r="AN18" s="21" t="e">
        <f>#REF!</f>
        <v>#REF!</v>
      </c>
      <c r="AO18" s="20" t="e">
        <f>#REF!+#REF!+#REF!</f>
        <v>#REF!</v>
      </c>
      <c r="AP18" s="12"/>
      <c r="AQ18" s="21" t="e">
        <f>#REF!+#REF!+#REF!</f>
        <v>#REF!</v>
      </c>
      <c r="AR18" s="12"/>
      <c r="AS18" s="20" t="e">
        <f>#REF!+#REF!+#REF!</f>
        <v>#REF!</v>
      </c>
      <c r="AT18" s="12"/>
      <c r="AU18" s="11"/>
      <c r="AV18" s="12"/>
      <c r="AW18" s="11"/>
      <c r="AX18" s="22"/>
      <c r="AY18" s="22"/>
      <c r="AZ18" s="22"/>
      <c r="BA18" s="22"/>
      <c r="BB18" s="22"/>
      <c r="BC18" s="22"/>
      <c r="BD18" s="22"/>
      <c r="BF18" s="14"/>
      <c r="BG18" s="15"/>
      <c r="BH18" s="11"/>
      <c r="BI18" s="16"/>
      <c r="BJ18" s="16"/>
      <c r="BK18" s="11"/>
      <c r="BL18" s="16"/>
      <c r="BM18" s="16"/>
      <c r="BN18" s="11"/>
      <c r="BO18" s="16"/>
      <c r="BP18" s="16"/>
      <c r="BQ18" s="11"/>
      <c r="BR18" s="16"/>
      <c r="BS18" s="11"/>
      <c r="BT18" s="16"/>
      <c r="BU18" s="11"/>
      <c r="BV18" s="16"/>
      <c r="BW18" s="11"/>
      <c r="BX18" s="16"/>
      <c r="BY18" s="11"/>
      <c r="BZ18" s="16"/>
      <c r="CA18" s="11"/>
      <c r="CB18" s="16"/>
      <c r="CC18" s="11"/>
      <c r="CD18" s="16"/>
      <c r="CE18" s="11"/>
      <c r="CF18" s="16"/>
      <c r="CG18" s="11"/>
      <c r="CH18" s="16"/>
      <c r="CJ18" s="186"/>
    </row>
    <row r="19" spans="1:88" ht="15" customHeight="1">
      <c r="A19" s="197">
        <v>8</v>
      </c>
      <c r="B19" s="189" t="s">
        <v>76</v>
      </c>
      <c r="C19" s="189" t="s">
        <v>77</v>
      </c>
      <c r="D19" s="189" t="s">
        <v>67</v>
      </c>
      <c r="E19" s="189" t="s">
        <v>223</v>
      </c>
      <c r="F19" s="190">
        <v>43801</v>
      </c>
      <c r="G19" s="189" t="s">
        <v>78</v>
      </c>
      <c r="H19" s="177">
        <v>1595412.21</v>
      </c>
      <c r="I19" s="177">
        <v>1595412.21</v>
      </c>
      <c r="J19" s="188" t="s">
        <v>79</v>
      </c>
      <c r="K19" s="175" t="s">
        <v>80</v>
      </c>
      <c r="L19" s="34">
        <v>47118</v>
      </c>
      <c r="M19" s="11"/>
      <c r="N19" s="12"/>
      <c r="O19" s="12"/>
      <c r="P19" s="12"/>
      <c r="Q19" s="25">
        <f t="shared" si="1"/>
        <v>975354.46000000008</v>
      </c>
      <c r="R19" s="20">
        <f>446002.39+108576.66</f>
        <v>554579.05000000005</v>
      </c>
      <c r="S19" s="21">
        <f>400247+88853.33</f>
        <v>489100.33</v>
      </c>
      <c r="T19" s="21">
        <f>45755.39+19723.33</f>
        <v>65478.720000000001</v>
      </c>
      <c r="U19" s="20">
        <f>45755.36+19723.34</f>
        <v>65478.7</v>
      </c>
      <c r="V19" s="20"/>
      <c r="W19" s="21">
        <f>45755.36+19723.34</f>
        <v>65478.7</v>
      </c>
      <c r="X19" s="20">
        <v>45755.360000000001</v>
      </c>
      <c r="Y19" s="20"/>
      <c r="Z19" s="21">
        <v>45755.360000000001</v>
      </c>
      <c r="AA19" s="20">
        <f>45755.36+139681.4</f>
        <v>185436.76</v>
      </c>
      <c r="AB19" s="20"/>
      <c r="AC19" s="21">
        <v>45755.360000000001</v>
      </c>
      <c r="AD19" s="20">
        <f>45755.36+139681.4</f>
        <v>185436.76</v>
      </c>
      <c r="AE19" s="20"/>
      <c r="AF19" s="21">
        <v>45755.360000000001</v>
      </c>
      <c r="AG19" s="20">
        <f>104761.04+34920.36</f>
        <v>139681.4</v>
      </c>
      <c r="AH19" s="20"/>
      <c r="AI19" s="20">
        <f>104761.04+34920.36</f>
        <v>139681.4</v>
      </c>
      <c r="AJ19" s="20"/>
      <c r="AK19" s="20">
        <f>104761.04+34920.36</f>
        <v>139681.4</v>
      </c>
      <c r="AL19" s="20"/>
      <c r="AM19" s="20">
        <f>104761.04+34920.34</f>
        <v>139681.38</v>
      </c>
      <c r="AN19" s="12"/>
      <c r="AO19" s="11"/>
      <c r="AP19" s="11"/>
      <c r="AQ19" s="12"/>
      <c r="AR19" s="12"/>
      <c r="AS19" s="11"/>
      <c r="AT19" s="11"/>
      <c r="AU19" s="11"/>
      <c r="AV19" s="11"/>
      <c r="AW19" s="11"/>
      <c r="BF19" s="4">
        <f>AO19+AM19+AK19+AI19+AG19+AD19+AA19+X19+U19+R19</f>
        <v>1595412.21</v>
      </c>
      <c r="BG19" s="35"/>
      <c r="BH19" s="11"/>
      <c r="BI19" s="36"/>
      <c r="BJ19" s="36"/>
      <c r="BK19" s="11"/>
      <c r="BL19" s="11"/>
      <c r="BM19" s="36"/>
      <c r="BN19" s="11"/>
      <c r="BO19" s="11"/>
      <c r="BP19" s="36"/>
      <c r="BQ19" s="11"/>
      <c r="BR19" s="36"/>
      <c r="BS19" s="11"/>
      <c r="BT19" s="36"/>
      <c r="BU19" s="11"/>
      <c r="BV19" s="36"/>
      <c r="BW19" s="11"/>
      <c r="BX19" s="36"/>
      <c r="BY19" s="11"/>
      <c r="BZ19" s="36"/>
      <c r="CA19" s="11"/>
      <c r="CB19" s="36"/>
      <c r="CC19" s="11"/>
      <c r="CD19" s="36"/>
      <c r="CE19" s="11"/>
      <c r="CF19" s="37"/>
      <c r="CG19" s="11"/>
      <c r="CH19" s="37"/>
      <c r="CJ19" s="8"/>
    </row>
    <row r="20" spans="1:88" ht="15" customHeight="1">
      <c r="A20" s="198">
        <v>9</v>
      </c>
      <c r="B20" s="10" t="s">
        <v>87</v>
      </c>
      <c r="C20" s="10" t="s">
        <v>88</v>
      </c>
      <c r="D20" s="10" t="s">
        <v>89</v>
      </c>
      <c r="E20" s="17" t="s">
        <v>223</v>
      </c>
      <c r="F20" s="190">
        <v>43343</v>
      </c>
      <c r="G20" s="10" t="s">
        <v>90</v>
      </c>
      <c r="H20" s="20">
        <v>5373554.7699999996</v>
      </c>
      <c r="I20" s="20">
        <v>1647936</v>
      </c>
      <c r="J20" s="196" t="s">
        <v>91</v>
      </c>
      <c r="K20" s="20" t="s">
        <v>92</v>
      </c>
      <c r="L20" s="41" t="s">
        <v>93</v>
      </c>
      <c r="M20" s="23">
        <v>3725618.77</v>
      </c>
      <c r="N20" s="24">
        <v>3519528.54</v>
      </c>
      <c r="O20" s="24">
        <v>206090.23</v>
      </c>
      <c r="P20" s="24"/>
      <c r="Q20" s="26">
        <f t="shared" si="1"/>
        <v>1235952</v>
      </c>
      <c r="R20" s="23">
        <v>205992</v>
      </c>
      <c r="S20" s="24"/>
      <c r="T20" s="24">
        <f>R20</f>
        <v>205992</v>
      </c>
      <c r="U20" s="23">
        <v>205992</v>
      </c>
      <c r="V20" s="23"/>
      <c r="W20" s="24">
        <f>T20</f>
        <v>205992</v>
      </c>
      <c r="X20" s="23">
        <v>205992</v>
      </c>
      <c r="Y20" s="23"/>
      <c r="Z20" s="24">
        <f>X20</f>
        <v>205992</v>
      </c>
      <c r="AA20" s="23">
        <v>205992</v>
      </c>
      <c r="AB20" s="23"/>
      <c r="AC20" s="24">
        <f>AA20</f>
        <v>205992</v>
      </c>
      <c r="AD20" s="23">
        <v>205992</v>
      </c>
      <c r="AE20" s="23"/>
      <c r="AF20" s="24">
        <f>AD20</f>
        <v>205992</v>
      </c>
      <c r="AG20" s="23">
        <v>205992</v>
      </c>
      <c r="AH20" s="24">
        <f>AG20</f>
        <v>205992</v>
      </c>
      <c r="AI20" s="23">
        <v>205992</v>
      </c>
      <c r="AJ20" s="24">
        <f>AI20</f>
        <v>205992</v>
      </c>
      <c r="AK20" s="23">
        <v>205992</v>
      </c>
      <c r="AL20" s="24">
        <f>AK20</f>
        <v>205992</v>
      </c>
      <c r="AM20" s="23"/>
      <c r="AN20" s="24"/>
      <c r="AO20" s="23"/>
      <c r="AP20" s="20"/>
      <c r="AQ20" s="20"/>
      <c r="AR20" s="20"/>
      <c r="AS20" s="20"/>
      <c r="AT20" s="20"/>
      <c r="AU20" s="20"/>
      <c r="AV20" s="20"/>
      <c r="AW20" s="20"/>
      <c r="AX20" s="4"/>
      <c r="AY20" s="4"/>
      <c r="AZ20" s="4"/>
      <c r="BA20" s="4"/>
      <c r="BB20" s="4"/>
      <c r="BC20" s="4"/>
      <c r="BD20" s="4"/>
      <c r="BE20" s="4">
        <f t="shared" ref="BE20:BE36" si="3">M20+R20+U20+X20+AA20+AD20+AG20+AI20+AK20+AM20+AO20-I20</f>
        <v>3725618.7699999996</v>
      </c>
      <c r="BF20" s="38" t="s">
        <v>86</v>
      </c>
      <c r="BG20" s="35"/>
      <c r="BH20" s="11">
        <v>29205</v>
      </c>
      <c r="BI20" s="36"/>
      <c r="BJ20" s="36">
        <v>29205</v>
      </c>
      <c r="BK20" s="39">
        <v>17518</v>
      </c>
      <c r="BL20" s="11"/>
      <c r="BM20" s="40">
        <v>17518</v>
      </c>
      <c r="BN20" s="11">
        <v>14840</v>
      </c>
      <c r="BO20" s="11"/>
      <c r="BP20" s="36">
        <v>14840</v>
      </c>
      <c r="BQ20" s="11">
        <v>12162</v>
      </c>
      <c r="BR20" s="36">
        <v>12162</v>
      </c>
      <c r="BS20" s="11">
        <v>9484</v>
      </c>
      <c r="BT20" s="36">
        <v>9484</v>
      </c>
      <c r="BU20" s="11">
        <v>6806</v>
      </c>
      <c r="BV20" s="36">
        <v>6806</v>
      </c>
      <c r="BW20" s="11">
        <v>4128</v>
      </c>
      <c r="BX20" s="36">
        <v>4128</v>
      </c>
      <c r="BY20" s="11">
        <v>1451</v>
      </c>
      <c r="BZ20" s="36">
        <v>1451</v>
      </c>
      <c r="CA20" s="11"/>
      <c r="CB20" s="36"/>
      <c r="CC20" s="11"/>
      <c r="CD20" s="36"/>
      <c r="CE20" s="11"/>
      <c r="CF20" s="37"/>
      <c r="CG20" s="11"/>
      <c r="CH20" s="37"/>
    </row>
    <row r="21" spans="1:88" ht="15" customHeight="1">
      <c r="A21" s="198">
        <v>10</v>
      </c>
      <c r="B21" s="10" t="s">
        <v>94</v>
      </c>
      <c r="C21" s="10" t="s">
        <v>95</v>
      </c>
      <c r="D21" s="10" t="s">
        <v>96</v>
      </c>
      <c r="E21" s="17" t="s">
        <v>223</v>
      </c>
      <c r="F21" s="190">
        <v>43278</v>
      </c>
      <c r="G21" s="10" t="s">
        <v>97</v>
      </c>
      <c r="H21" s="20">
        <v>3652804.62</v>
      </c>
      <c r="I21" s="20">
        <v>3652804.62</v>
      </c>
      <c r="J21" s="193" t="s">
        <v>98</v>
      </c>
      <c r="K21" s="20" t="s">
        <v>83</v>
      </c>
      <c r="L21" s="39" t="s">
        <v>99</v>
      </c>
      <c r="M21" s="20"/>
      <c r="N21" s="42"/>
      <c r="O21" s="42"/>
      <c r="P21" s="42"/>
      <c r="Q21" s="25">
        <f t="shared" si="1"/>
        <v>3206305.62</v>
      </c>
      <c r="R21" s="20">
        <v>45709.919999999998</v>
      </c>
      <c r="S21" s="42"/>
      <c r="T21" s="42"/>
      <c r="U21" s="20">
        <v>400789.08</v>
      </c>
      <c r="V21" s="20"/>
      <c r="W21" s="42"/>
      <c r="X21" s="20">
        <v>400789.08</v>
      </c>
      <c r="Y21" s="20"/>
      <c r="Z21" s="42"/>
      <c r="AA21" s="20">
        <v>400789.08</v>
      </c>
      <c r="AB21" s="20"/>
      <c r="AC21" s="42"/>
      <c r="AD21" s="20">
        <v>400788.08</v>
      </c>
      <c r="AE21" s="20"/>
      <c r="AF21" s="42"/>
      <c r="AG21" s="20">
        <v>400788.08</v>
      </c>
      <c r="AH21" s="42"/>
      <c r="AI21" s="20">
        <v>400788.08</v>
      </c>
      <c r="AJ21" s="42"/>
      <c r="AK21" s="20">
        <v>400788.08</v>
      </c>
      <c r="AL21" s="42"/>
      <c r="AM21" s="20">
        <v>400788.08</v>
      </c>
      <c r="AN21" s="42"/>
      <c r="AO21" s="20">
        <v>400787.06</v>
      </c>
      <c r="AP21" s="20"/>
      <c r="AQ21" s="20"/>
      <c r="AR21" s="20"/>
      <c r="AS21" s="20"/>
      <c r="AT21" s="20"/>
      <c r="AU21" s="20"/>
      <c r="AV21" s="20"/>
      <c r="AW21" s="20"/>
      <c r="AX21" s="4"/>
      <c r="AY21" s="4"/>
      <c r="AZ21" s="4"/>
      <c r="BA21" s="4"/>
      <c r="BB21" s="4"/>
      <c r="BC21" s="4"/>
      <c r="BD21" s="4"/>
      <c r="BE21" s="4">
        <f t="shared" si="3"/>
        <v>0</v>
      </c>
      <c r="BF21" s="38">
        <f>AO21+AM21+AK21+AI21+AG21+AD21+AA21+X21+U21+R21</f>
        <v>3652804.62</v>
      </c>
      <c r="BG21" s="35"/>
      <c r="BH21" s="43">
        <v>67566</v>
      </c>
      <c r="BI21" s="44"/>
      <c r="BJ21" s="44"/>
      <c r="BK21" s="39">
        <v>44504</v>
      </c>
      <c r="BL21" s="11"/>
      <c r="BM21" s="36"/>
      <c r="BN21" s="11">
        <v>39294</v>
      </c>
      <c r="BO21" s="11"/>
      <c r="BP21" s="36"/>
      <c r="BQ21" s="11">
        <v>34085</v>
      </c>
      <c r="BR21" s="36"/>
      <c r="BS21" s="11">
        <v>28873</v>
      </c>
      <c r="BT21" s="36"/>
      <c r="BU21" s="11">
        <v>23663</v>
      </c>
      <c r="BV21" s="36"/>
      <c r="BW21" s="11">
        <v>18453</v>
      </c>
      <c r="BX21" s="36"/>
      <c r="BY21" s="11">
        <v>13243</v>
      </c>
      <c r="BZ21" s="36"/>
      <c r="CA21" s="11">
        <v>8032</v>
      </c>
      <c r="CB21" s="36"/>
      <c r="CC21" s="11">
        <v>2822</v>
      </c>
      <c r="CD21" s="36"/>
      <c r="CE21" s="11"/>
      <c r="CF21" s="37"/>
      <c r="CG21" s="11"/>
      <c r="CH21" s="37"/>
    </row>
    <row r="22" spans="1:88" ht="15" customHeight="1">
      <c r="A22" s="198">
        <v>11</v>
      </c>
      <c r="B22" s="10" t="s">
        <v>100</v>
      </c>
      <c r="C22" s="10" t="s">
        <v>101</v>
      </c>
      <c r="D22" s="10" t="s">
        <v>102</v>
      </c>
      <c r="E22" s="17" t="s">
        <v>223</v>
      </c>
      <c r="F22" s="190">
        <v>43084</v>
      </c>
      <c r="G22" s="10" t="s">
        <v>103</v>
      </c>
      <c r="H22" s="20">
        <v>1573936</v>
      </c>
      <c r="I22" s="20">
        <v>1540165.31</v>
      </c>
      <c r="J22" s="193" t="s">
        <v>104</v>
      </c>
      <c r="K22" s="20">
        <v>13267</v>
      </c>
      <c r="L22" s="39" t="s">
        <v>99</v>
      </c>
      <c r="M22" s="20">
        <v>33770.69</v>
      </c>
      <c r="N22" s="42"/>
      <c r="O22" s="42"/>
      <c r="P22" s="42"/>
      <c r="Q22" s="25">
        <f t="shared" si="1"/>
        <v>1362575.4799999997</v>
      </c>
      <c r="R22" s="20">
        <v>7266.9</v>
      </c>
      <c r="S22" s="42"/>
      <c r="T22" s="42"/>
      <c r="U22" s="20">
        <v>170322.93</v>
      </c>
      <c r="V22" s="20"/>
      <c r="W22" s="42"/>
      <c r="X22" s="20">
        <v>170321.93</v>
      </c>
      <c r="Y22" s="20"/>
      <c r="Z22" s="42"/>
      <c r="AA22" s="20">
        <v>170321.93</v>
      </c>
      <c r="AB22" s="20"/>
      <c r="AC22" s="42"/>
      <c r="AD22" s="20">
        <v>170321.93</v>
      </c>
      <c r="AE22" s="20"/>
      <c r="AF22" s="42"/>
      <c r="AG22" s="20">
        <v>170321.93</v>
      </c>
      <c r="AH22" s="42"/>
      <c r="AI22" s="20">
        <v>170321.93</v>
      </c>
      <c r="AJ22" s="42"/>
      <c r="AK22" s="20">
        <v>170321.93</v>
      </c>
      <c r="AL22" s="42"/>
      <c r="AM22" s="20">
        <v>170321.93</v>
      </c>
      <c r="AN22" s="42"/>
      <c r="AO22" s="20">
        <v>170321.97</v>
      </c>
      <c r="AP22" s="20"/>
      <c r="AQ22" s="20"/>
      <c r="AR22" s="20"/>
      <c r="AS22" s="20"/>
      <c r="AT22" s="20"/>
      <c r="AU22" s="20"/>
      <c r="AV22" s="20"/>
      <c r="AW22" s="20"/>
      <c r="AX22" s="4"/>
      <c r="AY22" s="4"/>
      <c r="AZ22" s="4"/>
      <c r="BA22" s="4"/>
      <c r="BB22" s="4"/>
      <c r="BC22" s="4"/>
      <c r="BD22" s="4"/>
      <c r="BE22" s="4">
        <f t="shared" si="3"/>
        <v>33770.689999999478</v>
      </c>
      <c r="BF22" s="38">
        <f>AO22+AM22+AK22+AI22+AG22+AD22+AA22+X22+U22+R22</f>
        <v>1540165.3099999996</v>
      </c>
      <c r="BG22" s="35"/>
      <c r="BH22" s="11">
        <v>31616</v>
      </c>
      <c r="BI22" s="36"/>
      <c r="BJ22" s="36"/>
      <c r="BK22" s="39">
        <v>23859</v>
      </c>
      <c r="BL22" s="11"/>
      <c r="BM22" s="36"/>
      <c r="BN22" s="11">
        <v>21066</v>
      </c>
      <c r="BO22" s="11"/>
      <c r="BP22" s="36"/>
      <c r="BQ22" s="11">
        <v>18273</v>
      </c>
      <c r="BR22" s="36"/>
      <c r="BS22" s="11">
        <v>15479</v>
      </c>
      <c r="BT22" s="36"/>
      <c r="BU22" s="11">
        <v>12686</v>
      </c>
      <c r="BV22" s="36"/>
      <c r="BW22" s="11">
        <v>9893</v>
      </c>
      <c r="BX22" s="36"/>
      <c r="BY22" s="11">
        <v>7100</v>
      </c>
      <c r="BZ22" s="36"/>
      <c r="CA22" s="11">
        <v>4306</v>
      </c>
      <c r="CB22" s="36"/>
      <c r="CC22" s="11">
        <v>1513</v>
      </c>
      <c r="CD22" s="36"/>
      <c r="CE22" s="11"/>
      <c r="CF22" s="37"/>
      <c r="CG22" s="11"/>
      <c r="CH22" s="37"/>
    </row>
    <row r="23" spans="1:88" ht="15" customHeight="1">
      <c r="A23" s="198">
        <v>12</v>
      </c>
      <c r="B23" s="10" t="s">
        <v>105</v>
      </c>
      <c r="C23" s="10" t="s">
        <v>106</v>
      </c>
      <c r="D23" s="10" t="s">
        <v>67</v>
      </c>
      <c r="E23" s="17" t="s">
        <v>223</v>
      </c>
      <c r="F23" s="190">
        <v>42954</v>
      </c>
      <c r="G23" s="10" t="s">
        <v>107</v>
      </c>
      <c r="H23" s="20">
        <v>2075989</v>
      </c>
      <c r="I23" s="20">
        <v>1879408</v>
      </c>
      <c r="J23" s="193" t="s">
        <v>230</v>
      </c>
      <c r="K23" s="20">
        <v>24727</v>
      </c>
      <c r="L23" s="39" t="s">
        <v>108</v>
      </c>
      <c r="M23" s="20">
        <v>196581</v>
      </c>
      <c r="N23" s="42"/>
      <c r="O23" s="42"/>
      <c r="P23" s="42"/>
      <c r="Q23" s="25">
        <f t="shared" si="1"/>
        <v>1642385.83</v>
      </c>
      <c r="R23" s="20">
        <v>76568</v>
      </c>
      <c r="S23" s="42"/>
      <c r="T23" s="42"/>
      <c r="U23" s="45">
        <f>360568-70113.83-50000-10000-70000</f>
        <v>160454.16999999998</v>
      </c>
      <c r="V23" s="45"/>
      <c r="W23" s="42"/>
      <c r="X23" s="45">
        <f>360568-42570.47-60000-20000-80000</f>
        <v>157997.53000000003</v>
      </c>
      <c r="Y23" s="45"/>
      <c r="Z23" s="42"/>
      <c r="AA23" s="20">
        <f>360568+37561.44+36666.66+10000+50000</f>
        <v>494796.1</v>
      </c>
      <c r="AB23" s="20"/>
      <c r="AC23" s="42"/>
      <c r="AD23" s="20">
        <f>360568+37561.44+36666.66+10000+50000</f>
        <v>494796.1</v>
      </c>
      <c r="AE23" s="20"/>
      <c r="AF23" s="42"/>
      <c r="AG23" s="20">
        <f>360568+37561.44+36666.66+10000+50000</f>
        <v>494796.1</v>
      </c>
      <c r="AH23" s="42"/>
      <c r="AI23" s="20"/>
      <c r="AJ23" s="42"/>
      <c r="AK23" s="20"/>
      <c r="AL23" s="42"/>
      <c r="AM23" s="20"/>
      <c r="AN23" s="42"/>
      <c r="AO23" s="20"/>
      <c r="AP23" s="20"/>
      <c r="AQ23" s="20"/>
      <c r="AR23" s="20"/>
      <c r="AS23" s="20"/>
      <c r="AT23" s="20"/>
      <c r="AU23" s="20"/>
      <c r="AV23" s="20"/>
      <c r="AW23" s="20"/>
      <c r="AX23" s="4"/>
      <c r="AY23" s="4"/>
      <c r="AZ23" s="4"/>
      <c r="BA23" s="4"/>
      <c r="BB23" s="4"/>
      <c r="BC23" s="4"/>
      <c r="BD23" s="4"/>
      <c r="BE23" s="4">
        <f t="shared" si="3"/>
        <v>196581</v>
      </c>
      <c r="BF23" s="4">
        <f>AO23+AM23+AK23+AI23+AG23+AD23+AA23+X23+U23+R23</f>
        <v>1879407.9999999998</v>
      </c>
      <c r="BG23" s="35"/>
      <c r="BH23" s="11">
        <v>39024</v>
      </c>
      <c r="BI23" s="36"/>
      <c r="BJ23" s="36"/>
      <c r="BK23" s="39">
        <v>28465</v>
      </c>
      <c r="BL23" s="43"/>
      <c r="BM23" s="44"/>
      <c r="BN23" s="43">
        <v>26071</v>
      </c>
      <c r="BO23" s="43"/>
      <c r="BP23" s="44"/>
      <c r="BQ23" s="11">
        <v>21165</v>
      </c>
      <c r="BR23" s="36"/>
      <c r="BS23" s="11">
        <v>13726</v>
      </c>
      <c r="BT23" s="36"/>
      <c r="BU23" s="11">
        <v>6288</v>
      </c>
      <c r="BV23" s="36"/>
      <c r="BW23" s="11"/>
      <c r="BX23" s="36"/>
      <c r="BY23" s="11"/>
      <c r="BZ23" s="36"/>
      <c r="CA23" s="11"/>
      <c r="CB23" s="36"/>
      <c r="CC23" s="11"/>
      <c r="CD23" s="36"/>
      <c r="CE23" s="11"/>
      <c r="CF23" s="37"/>
      <c r="CG23" s="11"/>
      <c r="CH23" s="37"/>
    </row>
    <row r="24" spans="1:88" ht="15" customHeight="1">
      <c r="A24" s="198">
        <v>13</v>
      </c>
      <c r="B24" s="10" t="s">
        <v>105</v>
      </c>
      <c r="C24" s="10" t="s">
        <v>109</v>
      </c>
      <c r="D24" s="10" t="s">
        <v>110</v>
      </c>
      <c r="E24" s="17" t="s">
        <v>223</v>
      </c>
      <c r="F24" s="190">
        <v>42874</v>
      </c>
      <c r="G24" s="10" t="s">
        <v>111</v>
      </c>
      <c r="H24" s="20">
        <v>967301</v>
      </c>
      <c r="I24" s="20">
        <v>827208</v>
      </c>
      <c r="J24" s="193" t="s">
        <v>112</v>
      </c>
      <c r="K24" s="20">
        <v>11489</v>
      </c>
      <c r="L24" s="11" t="s">
        <v>108</v>
      </c>
      <c r="M24" s="20">
        <v>137868</v>
      </c>
      <c r="N24" s="42"/>
      <c r="O24" s="42"/>
      <c r="P24" s="42"/>
      <c r="Q24" s="25">
        <f t="shared" si="1"/>
        <v>639472</v>
      </c>
      <c r="R24" s="46">
        <f>27868+6599</f>
        <v>34467</v>
      </c>
      <c r="S24" s="42"/>
      <c r="T24" s="42"/>
      <c r="U24" s="46">
        <f>159868-6599</f>
        <v>153269</v>
      </c>
      <c r="V24" s="20"/>
      <c r="W24" s="42"/>
      <c r="X24" s="20">
        <v>159868</v>
      </c>
      <c r="Y24" s="20"/>
      <c r="Z24" s="42"/>
      <c r="AA24" s="20">
        <v>159868</v>
      </c>
      <c r="AB24" s="20"/>
      <c r="AC24" s="42"/>
      <c r="AD24" s="20">
        <v>159868</v>
      </c>
      <c r="AE24" s="20"/>
      <c r="AF24" s="42"/>
      <c r="AG24" s="20">
        <v>159868</v>
      </c>
      <c r="AH24" s="42"/>
      <c r="AI24" s="20"/>
      <c r="AJ24" s="42"/>
      <c r="AK24" s="20"/>
      <c r="AL24" s="42"/>
      <c r="AM24" s="20"/>
      <c r="AN24" s="42"/>
      <c r="AO24" s="20"/>
      <c r="AP24" s="20"/>
      <c r="AQ24" s="20"/>
      <c r="AR24" s="20"/>
      <c r="AS24" s="20"/>
      <c r="AT24" s="20"/>
      <c r="AU24" s="20"/>
      <c r="AV24" s="20"/>
      <c r="AW24" s="20"/>
      <c r="AX24" s="4"/>
      <c r="AY24" s="4"/>
      <c r="AZ24" s="4"/>
      <c r="BA24" s="4"/>
      <c r="BB24" s="4"/>
      <c r="BC24" s="4"/>
      <c r="BD24" s="4"/>
      <c r="BE24" s="4">
        <f t="shared" si="3"/>
        <v>137868</v>
      </c>
      <c r="BF24" s="4">
        <f>AO24+AM24+AK24+AI24+AG24+AD24+AA24+X24+U24+R24</f>
        <v>827208</v>
      </c>
      <c r="BG24" s="35"/>
      <c r="BH24" s="11">
        <v>18784</v>
      </c>
      <c r="BI24" s="36"/>
      <c r="BJ24" s="36"/>
      <c r="BK24" s="39">
        <v>11908</v>
      </c>
      <c r="BL24" s="11"/>
      <c r="BM24" s="36"/>
      <c r="BN24" s="11">
        <v>9286</v>
      </c>
      <c r="BO24" s="11"/>
      <c r="BP24" s="36"/>
      <c r="BQ24" s="11">
        <v>6664</v>
      </c>
      <c r="BR24" s="36"/>
      <c r="BS24" s="11">
        <v>4042</v>
      </c>
      <c r="BT24" s="36"/>
      <c r="BU24" s="11">
        <v>1420</v>
      </c>
      <c r="BV24" s="36"/>
      <c r="BW24" s="11"/>
      <c r="BX24" s="36"/>
      <c r="BY24" s="11"/>
      <c r="BZ24" s="36"/>
      <c r="CA24" s="11"/>
      <c r="CB24" s="36"/>
      <c r="CC24" s="11"/>
      <c r="CD24" s="36"/>
      <c r="CE24" s="11"/>
      <c r="CF24" s="37"/>
      <c r="CG24" s="11"/>
      <c r="CH24" s="37"/>
    </row>
    <row r="25" spans="1:88" ht="15" customHeight="1">
      <c r="A25" s="198">
        <v>14</v>
      </c>
      <c r="B25" s="10" t="s">
        <v>105</v>
      </c>
      <c r="C25" s="10" t="s">
        <v>113</v>
      </c>
      <c r="D25" s="10" t="s">
        <v>67</v>
      </c>
      <c r="E25" s="17" t="s">
        <v>223</v>
      </c>
      <c r="F25" s="190">
        <v>42844</v>
      </c>
      <c r="G25" s="10" t="s">
        <v>114</v>
      </c>
      <c r="H25" s="20">
        <v>217500</v>
      </c>
      <c r="I25" s="20">
        <v>181200</v>
      </c>
      <c r="J25" s="193" t="s">
        <v>115</v>
      </c>
      <c r="K25" s="20">
        <v>3020</v>
      </c>
      <c r="L25" s="11" t="s">
        <v>116</v>
      </c>
      <c r="M25" s="20">
        <v>36300</v>
      </c>
      <c r="N25" s="42"/>
      <c r="O25" s="42"/>
      <c r="P25" s="42"/>
      <c r="Q25" s="25">
        <f t="shared" si="1"/>
        <v>108720</v>
      </c>
      <c r="R25" s="20">
        <v>36240</v>
      </c>
      <c r="S25" s="42"/>
      <c r="T25" s="42"/>
      <c r="U25" s="20">
        <v>36240</v>
      </c>
      <c r="V25" s="20"/>
      <c r="W25" s="42"/>
      <c r="X25" s="20">
        <v>36240</v>
      </c>
      <c r="Y25" s="20"/>
      <c r="Z25" s="42"/>
      <c r="AA25" s="20">
        <v>36240</v>
      </c>
      <c r="AB25" s="20"/>
      <c r="AC25" s="42"/>
      <c r="AD25" s="20">
        <v>36240</v>
      </c>
      <c r="AE25" s="20"/>
      <c r="AF25" s="42"/>
      <c r="AG25" s="20"/>
      <c r="AH25" s="42"/>
      <c r="AI25" s="20"/>
      <c r="AJ25" s="42"/>
      <c r="AK25" s="20"/>
      <c r="AL25" s="42"/>
      <c r="AM25" s="20"/>
      <c r="AN25" s="42"/>
      <c r="AO25" s="20"/>
      <c r="AP25" s="20"/>
      <c r="AQ25" s="20"/>
      <c r="AR25" s="20"/>
      <c r="AS25" s="20"/>
      <c r="AT25" s="20"/>
      <c r="AU25" s="20"/>
      <c r="AV25" s="20"/>
      <c r="AW25" s="20"/>
      <c r="AX25" s="4"/>
      <c r="AY25" s="4"/>
      <c r="AZ25" s="4"/>
      <c r="BA25" s="4"/>
      <c r="BB25" s="4"/>
      <c r="BC25" s="4"/>
      <c r="BD25" s="4"/>
      <c r="BE25" s="4">
        <f t="shared" si="3"/>
        <v>36300</v>
      </c>
      <c r="BF25" s="4">
        <f>AO25+AM25+AK25+AI25+AG25+AD25+AA25+X25+U25+R25</f>
        <v>181200</v>
      </c>
      <c r="BG25" s="35"/>
      <c r="BH25" s="11">
        <v>4515</v>
      </c>
      <c r="BI25" s="36"/>
      <c r="BJ25" s="36"/>
      <c r="BK25" s="39">
        <v>2953</v>
      </c>
      <c r="BL25" s="11"/>
      <c r="BM25" s="36"/>
      <c r="BN25" s="11">
        <v>2119</v>
      </c>
      <c r="BO25" s="11"/>
      <c r="BP25" s="36"/>
      <c r="BQ25" s="11">
        <v>1285</v>
      </c>
      <c r="BR25" s="36"/>
      <c r="BS25" s="11">
        <v>451</v>
      </c>
      <c r="BT25" s="36"/>
      <c r="BU25" s="11"/>
      <c r="BV25" s="36"/>
      <c r="BW25" s="11"/>
      <c r="BX25" s="36"/>
      <c r="BY25" s="11"/>
      <c r="BZ25" s="36"/>
      <c r="CA25" s="11"/>
      <c r="CB25" s="36"/>
      <c r="CC25" s="11"/>
      <c r="CD25" s="36"/>
      <c r="CE25" s="11"/>
      <c r="CF25" s="37"/>
      <c r="CG25" s="11"/>
      <c r="CH25" s="37"/>
    </row>
    <row r="26" spans="1:88" ht="15" customHeight="1">
      <c r="A26" s="198">
        <v>15</v>
      </c>
      <c r="B26" s="10" t="s">
        <v>118</v>
      </c>
      <c r="C26" s="10" t="s">
        <v>119</v>
      </c>
      <c r="D26" s="10" t="s">
        <v>120</v>
      </c>
      <c r="E26" s="17" t="s">
        <v>223</v>
      </c>
      <c r="F26" s="190">
        <v>42710</v>
      </c>
      <c r="G26" s="47">
        <v>3.5999999999999997E-2</v>
      </c>
      <c r="H26" s="20">
        <v>186410.49</v>
      </c>
      <c r="I26" s="20">
        <v>118712.64</v>
      </c>
      <c r="J26" s="193" t="s">
        <v>121</v>
      </c>
      <c r="K26" s="48" t="s">
        <v>122</v>
      </c>
      <c r="L26" s="11" t="s">
        <v>123</v>
      </c>
      <c r="M26" s="20">
        <v>29678.16</v>
      </c>
      <c r="N26" s="42"/>
      <c r="O26" s="42"/>
      <c r="P26" s="42"/>
      <c r="Q26" s="25">
        <f t="shared" si="1"/>
        <v>59356.32</v>
      </c>
      <c r="R26" s="20">
        <v>29678.16</v>
      </c>
      <c r="S26" s="42"/>
      <c r="T26" s="42"/>
      <c r="U26" s="20">
        <v>29678.16</v>
      </c>
      <c r="V26" s="20"/>
      <c r="W26" s="42"/>
      <c r="X26" s="20">
        <v>29678.16</v>
      </c>
      <c r="Y26" s="20"/>
      <c r="Z26" s="42"/>
      <c r="AA26" s="20">
        <v>29678.16</v>
      </c>
      <c r="AB26" s="20"/>
      <c r="AC26" s="42"/>
      <c r="AD26" s="20"/>
      <c r="AE26" s="20"/>
      <c r="AF26" s="42"/>
      <c r="AG26" s="20"/>
      <c r="AH26" s="42"/>
      <c r="AI26" s="20"/>
      <c r="AJ26" s="42"/>
      <c r="AK26" s="20"/>
      <c r="AL26" s="42"/>
      <c r="AM26" s="20"/>
      <c r="AN26" s="42"/>
      <c r="AO26" s="20"/>
      <c r="AP26" s="20"/>
      <c r="AQ26" s="20"/>
      <c r="AR26" s="20"/>
      <c r="AS26" s="20"/>
      <c r="AT26" s="20"/>
      <c r="AU26" s="20"/>
      <c r="AV26" s="20"/>
      <c r="AW26" s="20"/>
      <c r="AX26" s="4"/>
      <c r="AY26" s="4"/>
      <c r="AZ26" s="4"/>
      <c r="BA26" s="4"/>
      <c r="BB26" s="4"/>
      <c r="BC26" s="4"/>
      <c r="BD26" s="4"/>
      <c r="BE26" s="4">
        <f t="shared" si="3"/>
        <v>29678.159999999989</v>
      </c>
      <c r="BF26" s="4">
        <f t="shared" ref="BF26:BF36" si="4">AO26+AM26+AK26+AI26+AG26+AD26+AA26+X26+U26+R26</f>
        <v>118712.64</v>
      </c>
      <c r="BG26" s="35"/>
      <c r="BH26" s="11">
        <v>3784</v>
      </c>
      <c r="BI26" s="36"/>
      <c r="BJ26" s="36"/>
      <c r="BK26" s="39">
        <v>2716</v>
      </c>
      <c r="BL26" s="11"/>
      <c r="BM26" s="36"/>
      <c r="BN26" s="11">
        <v>1647</v>
      </c>
      <c r="BO26" s="11"/>
      <c r="BP26" s="36"/>
      <c r="BQ26" s="11">
        <v>579</v>
      </c>
      <c r="BR26" s="36"/>
      <c r="BS26" s="11"/>
      <c r="BT26" s="36"/>
      <c r="BU26" s="11"/>
      <c r="BV26" s="36"/>
      <c r="BW26" s="11"/>
      <c r="BX26" s="36"/>
      <c r="BY26" s="11"/>
      <c r="BZ26" s="36"/>
      <c r="CA26" s="11"/>
      <c r="CB26" s="36"/>
      <c r="CC26" s="11"/>
      <c r="CD26" s="36"/>
      <c r="CE26" s="11"/>
      <c r="CF26" s="37"/>
      <c r="CG26" s="11"/>
      <c r="CH26" s="37"/>
    </row>
    <row r="27" spans="1:88" ht="15" customHeight="1">
      <c r="A27" s="198">
        <v>16</v>
      </c>
      <c r="B27" s="10" t="s">
        <v>124</v>
      </c>
      <c r="C27" s="10" t="s">
        <v>125</v>
      </c>
      <c r="D27" s="10" t="s">
        <v>67</v>
      </c>
      <c r="E27" s="17" t="s">
        <v>223</v>
      </c>
      <c r="F27" s="190">
        <v>42716</v>
      </c>
      <c r="G27" s="10" t="s">
        <v>117</v>
      </c>
      <c r="H27" s="20">
        <v>321789</v>
      </c>
      <c r="I27" s="20">
        <v>214080</v>
      </c>
      <c r="J27" s="193" t="s">
        <v>126</v>
      </c>
      <c r="K27" s="20">
        <v>5129</v>
      </c>
      <c r="L27" s="11" t="s">
        <v>127</v>
      </c>
      <c r="M27" s="20">
        <v>53520</v>
      </c>
      <c r="N27" s="42"/>
      <c r="O27" s="42"/>
      <c r="P27" s="42"/>
      <c r="Q27" s="25">
        <f t="shared" si="1"/>
        <v>107040</v>
      </c>
      <c r="R27" s="20">
        <v>53520</v>
      </c>
      <c r="S27" s="42"/>
      <c r="T27" s="42"/>
      <c r="U27" s="20">
        <v>53520</v>
      </c>
      <c r="V27" s="20"/>
      <c r="W27" s="42"/>
      <c r="X27" s="20">
        <v>53520</v>
      </c>
      <c r="Y27" s="20"/>
      <c r="Z27" s="42"/>
      <c r="AA27" s="20">
        <v>53520</v>
      </c>
      <c r="AB27" s="20"/>
      <c r="AC27" s="42"/>
      <c r="AD27" s="20"/>
      <c r="AE27" s="20"/>
      <c r="AF27" s="42"/>
      <c r="AG27" s="20"/>
      <c r="AH27" s="42"/>
      <c r="AI27" s="20"/>
      <c r="AJ27" s="42"/>
      <c r="AK27" s="20"/>
      <c r="AL27" s="42"/>
      <c r="AM27" s="20"/>
      <c r="AN27" s="42"/>
      <c r="AO27" s="20"/>
      <c r="AP27" s="20"/>
      <c r="AQ27" s="20"/>
      <c r="AR27" s="20"/>
      <c r="AS27" s="20"/>
      <c r="AT27" s="20"/>
      <c r="AU27" s="20"/>
      <c r="AV27" s="20"/>
      <c r="AW27" s="20"/>
      <c r="AX27" s="4"/>
      <c r="AY27" s="4"/>
      <c r="AZ27" s="4"/>
      <c r="BA27" s="4"/>
      <c r="BB27" s="4"/>
      <c r="BC27" s="4"/>
      <c r="BD27" s="4"/>
      <c r="BE27" s="4">
        <f t="shared" si="3"/>
        <v>53520</v>
      </c>
      <c r="BF27" s="4">
        <f t="shared" si="4"/>
        <v>214080</v>
      </c>
      <c r="BG27" s="35"/>
      <c r="BH27" s="11">
        <v>5290</v>
      </c>
      <c r="BI27" s="36"/>
      <c r="BJ27" s="36"/>
      <c r="BK27" s="39">
        <v>3183</v>
      </c>
      <c r="BL27" s="11"/>
      <c r="BM27" s="36"/>
      <c r="BN27" s="11">
        <v>1931</v>
      </c>
      <c r="BO27" s="11"/>
      <c r="BP27" s="36"/>
      <c r="BQ27" s="11">
        <v>678</v>
      </c>
      <c r="BR27" s="36"/>
      <c r="BS27" s="11"/>
      <c r="BT27" s="36"/>
      <c r="BU27" s="11"/>
      <c r="BV27" s="36"/>
      <c r="BW27" s="11"/>
      <c r="BX27" s="36"/>
      <c r="BY27" s="11"/>
      <c r="BZ27" s="36"/>
      <c r="CA27" s="11"/>
      <c r="CB27" s="36"/>
      <c r="CC27" s="11"/>
      <c r="CD27" s="36"/>
      <c r="CE27" s="11"/>
      <c r="CF27" s="37"/>
      <c r="CG27" s="11"/>
      <c r="CH27" s="37"/>
    </row>
    <row r="28" spans="1:88" ht="15" customHeight="1">
      <c r="A28" s="198">
        <v>17</v>
      </c>
      <c r="B28" s="10" t="s">
        <v>130</v>
      </c>
      <c r="C28" s="10" t="s">
        <v>131</v>
      </c>
      <c r="D28" s="10" t="s">
        <v>67</v>
      </c>
      <c r="E28" s="17" t="s">
        <v>223</v>
      </c>
      <c r="F28" s="190">
        <v>42682</v>
      </c>
      <c r="G28" s="10" t="s">
        <v>107</v>
      </c>
      <c r="H28" s="20">
        <v>350000</v>
      </c>
      <c r="I28" s="20">
        <v>233280</v>
      </c>
      <c r="J28" s="193" t="s">
        <v>132</v>
      </c>
      <c r="K28" s="20">
        <v>4940</v>
      </c>
      <c r="L28" s="11" t="s">
        <v>127</v>
      </c>
      <c r="M28" s="20">
        <v>58320</v>
      </c>
      <c r="N28" s="42"/>
      <c r="O28" s="42"/>
      <c r="P28" s="42"/>
      <c r="Q28" s="25">
        <f t="shared" si="1"/>
        <v>116640</v>
      </c>
      <c r="R28" s="20">
        <v>58320</v>
      </c>
      <c r="S28" s="42"/>
      <c r="T28" s="42"/>
      <c r="U28" s="20">
        <v>58320</v>
      </c>
      <c r="V28" s="20"/>
      <c r="W28" s="42"/>
      <c r="X28" s="20">
        <v>58320</v>
      </c>
      <c r="Y28" s="20"/>
      <c r="Z28" s="42"/>
      <c r="AA28" s="20">
        <v>58320</v>
      </c>
      <c r="AB28" s="20"/>
      <c r="AC28" s="42"/>
      <c r="AD28" s="20"/>
      <c r="AE28" s="20"/>
      <c r="AF28" s="42"/>
      <c r="AG28" s="20"/>
      <c r="AH28" s="42"/>
      <c r="AI28" s="20"/>
      <c r="AJ28" s="42"/>
      <c r="AK28" s="20"/>
      <c r="AL28" s="42"/>
      <c r="AM28" s="20"/>
      <c r="AN28" s="42"/>
      <c r="AO28" s="20"/>
      <c r="AP28" s="20"/>
      <c r="AQ28" s="20"/>
      <c r="AR28" s="20"/>
      <c r="AS28" s="20"/>
      <c r="AT28" s="20"/>
      <c r="AU28" s="20"/>
      <c r="AV28" s="20"/>
      <c r="AW28" s="20"/>
      <c r="AX28" s="4"/>
      <c r="AY28" s="4"/>
      <c r="AZ28" s="4"/>
      <c r="BA28" s="4"/>
      <c r="BB28" s="4"/>
      <c r="BC28" s="4"/>
      <c r="BD28" s="4"/>
      <c r="BE28" s="4">
        <f t="shared" si="3"/>
        <v>58320</v>
      </c>
      <c r="BF28" s="4">
        <f t="shared" si="4"/>
        <v>233280</v>
      </c>
      <c r="BG28" s="35"/>
      <c r="BH28" s="11">
        <v>4319</v>
      </c>
      <c r="BI28" s="36"/>
      <c r="BJ28" s="36"/>
      <c r="BK28" s="39">
        <v>2431</v>
      </c>
      <c r="BL28" s="11"/>
      <c r="BM28" s="36"/>
      <c r="BN28" s="11">
        <v>1475</v>
      </c>
      <c r="BO28" s="11"/>
      <c r="BP28" s="36"/>
      <c r="BQ28" s="11">
        <v>518</v>
      </c>
      <c r="BR28" s="36"/>
      <c r="BS28" s="11"/>
      <c r="BT28" s="36"/>
      <c r="BU28" s="11"/>
      <c r="BV28" s="36"/>
      <c r="BW28" s="11"/>
      <c r="BX28" s="36"/>
      <c r="BY28" s="11"/>
      <c r="BZ28" s="36"/>
      <c r="CA28" s="11"/>
      <c r="CB28" s="36"/>
      <c r="CC28" s="11"/>
      <c r="CD28" s="36"/>
      <c r="CE28" s="11"/>
      <c r="CF28" s="37"/>
      <c r="CG28" s="11"/>
      <c r="CH28" s="37"/>
    </row>
    <row r="29" spans="1:88" ht="15" customHeight="1">
      <c r="A29" s="198">
        <v>18</v>
      </c>
      <c r="B29" s="10" t="s">
        <v>133</v>
      </c>
      <c r="C29" s="10" t="s">
        <v>134</v>
      </c>
      <c r="D29" s="10" t="s">
        <v>67</v>
      </c>
      <c r="E29" s="17" t="s">
        <v>223</v>
      </c>
      <c r="F29" s="190">
        <v>42682</v>
      </c>
      <c r="G29" s="10" t="s">
        <v>107</v>
      </c>
      <c r="H29" s="20">
        <v>361053</v>
      </c>
      <c r="I29" s="20">
        <v>274080</v>
      </c>
      <c r="J29" s="193" t="s">
        <v>132</v>
      </c>
      <c r="K29" s="20">
        <v>5710</v>
      </c>
      <c r="L29" s="11" t="s">
        <v>127</v>
      </c>
      <c r="M29" s="20">
        <v>68520</v>
      </c>
      <c r="N29" s="42"/>
      <c r="O29" s="42"/>
      <c r="P29" s="42"/>
      <c r="Q29" s="25">
        <f t="shared" si="1"/>
        <v>137040</v>
      </c>
      <c r="R29" s="20">
        <v>68520</v>
      </c>
      <c r="S29" s="42"/>
      <c r="T29" s="42"/>
      <c r="U29" s="20">
        <v>68520</v>
      </c>
      <c r="V29" s="20"/>
      <c r="W29" s="42"/>
      <c r="X29" s="20">
        <v>68520</v>
      </c>
      <c r="Y29" s="20"/>
      <c r="Z29" s="42"/>
      <c r="AA29" s="20">
        <v>68520</v>
      </c>
      <c r="AB29" s="20"/>
      <c r="AC29" s="42"/>
      <c r="AD29" s="20"/>
      <c r="AE29" s="20"/>
      <c r="AF29" s="42"/>
      <c r="AG29" s="20"/>
      <c r="AH29" s="42"/>
      <c r="AI29" s="20"/>
      <c r="AJ29" s="42"/>
      <c r="AK29" s="20"/>
      <c r="AL29" s="42"/>
      <c r="AM29" s="20"/>
      <c r="AN29" s="42"/>
      <c r="AO29" s="20"/>
      <c r="AP29" s="20"/>
      <c r="AQ29" s="20"/>
      <c r="AR29" s="20"/>
      <c r="AS29" s="20"/>
      <c r="AT29" s="20"/>
      <c r="AU29" s="20"/>
      <c r="AV29" s="20"/>
      <c r="AW29" s="20"/>
      <c r="AX29" s="4"/>
      <c r="AY29" s="4"/>
      <c r="AZ29" s="4"/>
      <c r="BA29" s="4"/>
      <c r="BB29" s="4"/>
      <c r="BC29" s="4"/>
      <c r="BD29" s="4"/>
      <c r="BE29" s="4">
        <f t="shared" si="3"/>
        <v>68520</v>
      </c>
      <c r="BF29" s="4">
        <f t="shared" si="4"/>
        <v>274080</v>
      </c>
      <c r="BG29" s="35"/>
      <c r="BH29" s="11">
        <v>5074</v>
      </c>
      <c r="BI29" s="36"/>
      <c r="BJ29" s="36"/>
      <c r="BK29" s="39">
        <v>2856</v>
      </c>
      <c r="BL29" s="11"/>
      <c r="BM29" s="36"/>
      <c r="BN29" s="11">
        <v>1732</v>
      </c>
      <c r="BO29" s="11"/>
      <c r="BP29" s="36"/>
      <c r="BQ29" s="11">
        <v>609</v>
      </c>
      <c r="BR29" s="36"/>
      <c r="BS29" s="11"/>
      <c r="BT29" s="36"/>
      <c r="BU29" s="11"/>
      <c r="BV29" s="36"/>
      <c r="BW29" s="11"/>
      <c r="BX29" s="36"/>
      <c r="BY29" s="11"/>
      <c r="BZ29" s="36"/>
      <c r="CA29" s="11"/>
      <c r="CB29" s="36"/>
      <c r="CC29" s="11"/>
      <c r="CD29" s="36"/>
      <c r="CE29" s="11"/>
      <c r="CF29" s="37"/>
      <c r="CG29" s="11"/>
      <c r="CH29" s="37"/>
    </row>
    <row r="30" spans="1:88" ht="15" customHeight="1" thickBot="1">
      <c r="A30" s="196">
        <v>19</v>
      </c>
      <c r="B30" s="196" t="s">
        <v>135</v>
      </c>
      <c r="C30" s="10" t="s">
        <v>136</v>
      </c>
      <c r="D30" s="10" t="s">
        <v>67</v>
      </c>
      <c r="E30" s="10" t="s">
        <v>223</v>
      </c>
      <c r="F30" s="192">
        <v>42682</v>
      </c>
      <c r="G30" s="10" t="s">
        <v>107</v>
      </c>
      <c r="H30" s="20">
        <v>476500</v>
      </c>
      <c r="I30" s="20">
        <v>318380.96000000002</v>
      </c>
      <c r="J30" s="193" t="s">
        <v>132</v>
      </c>
      <c r="K30" s="20">
        <v>6995.24</v>
      </c>
      <c r="L30" s="11" t="s">
        <v>127</v>
      </c>
      <c r="M30" s="20">
        <v>79595.240000000005</v>
      </c>
      <c r="N30" s="42"/>
      <c r="O30" s="42"/>
      <c r="P30" s="42"/>
      <c r="Q30" s="25">
        <f t="shared" si="1"/>
        <v>159190.48000000001</v>
      </c>
      <c r="R30" s="20">
        <v>79595.240000000005</v>
      </c>
      <c r="S30" s="42"/>
      <c r="T30" s="42"/>
      <c r="U30" s="20">
        <v>79595.240000000005</v>
      </c>
      <c r="V30" s="20"/>
      <c r="W30" s="42"/>
      <c r="X30" s="20">
        <v>79595.240000000005</v>
      </c>
      <c r="Y30" s="20"/>
      <c r="Z30" s="42"/>
      <c r="AA30" s="20">
        <v>79595.240000000005</v>
      </c>
      <c r="AB30" s="20"/>
      <c r="AC30" s="42"/>
      <c r="AD30" s="20"/>
      <c r="AE30" s="20"/>
      <c r="AF30" s="42"/>
      <c r="AG30" s="20"/>
      <c r="AH30" s="42"/>
      <c r="AI30" s="20"/>
      <c r="AJ30" s="42"/>
      <c r="AK30" s="20"/>
      <c r="AL30" s="42"/>
      <c r="AM30" s="20"/>
      <c r="AN30" s="42"/>
      <c r="AO30" s="20"/>
      <c r="AP30" s="20"/>
      <c r="AQ30" s="20"/>
      <c r="AR30" s="20"/>
      <c r="AS30" s="20"/>
      <c r="AT30" s="20"/>
      <c r="AU30" s="20"/>
      <c r="AV30" s="20"/>
      <c r="AW30" s="20"/>
      <c r="AX30" s="4"/>
      <c r="AY30" s="4"/>
      <c r="AZ30" s="4"/>
      <c r="BA30" s="4"/>
      <c r="BB30" s="4"/>
      <c r="BC30" s="4"/>
      <c r="BD30" s="4"/>
      <c r="BE30" s="4">
        <f t="shared" si="3"/>
        <v>79595.239999999991</v>
      </c>
      <c r="BF30" s="4">
        <f t="shared" si="4"/>
        <v>318380.96000000002</v>
      </c>
      <c r="BG30" s="35"/>
      <c r="BH30" s="11">
        <v>6200</v>
      </c>
      <c r="BI30" s="36"/>
      <c r="BJ30" s="36"/>
      <c r="BK30" s="39">
        <v>3318</v>
      </c>
      <c r="BL30" s="11"/>
      <c r="BM30" s="36"/>
      <c r="BN30" s="11">
        <v>2012</v>
      </c>
      <c r="BO30" s="11"/>
      <c r="BP30" s="36"/>
      <c r="BQ30" s="11">
        <v>707</v>
      </c>
      <c r="BR30" s="36"/>
      <c r="BS30" s="11"/>
      <c r="BT30" s="36"/>
      <c r="BU30" s="11"/>
      <c r="BV30" s="36"/>
      <c r="BW30" s="11"/>
      <c r="BX30" s="36"/>
      <c r="BY30" s="11"/>
      <c r="BZ30" s="36"/>
      <c r="CA30" s="11"/>
      <c r="CB30" s="36"/>
      <c r="CC30" s="11"/>
      <c r="CD30" s="36"/>
      <c r="CE30" s="11"/>
      <c r="CF30" s="37"/>
      <c r="CG30" s="11"/>
      <c r="CH30" s="37"/>
    </row>
    <row r="31" spans="1:88" ht="30" hidden="1">
      <c r="A31" s="196">
        <v>18</v>
      </c>
      <c r="B31" s="196" t="s">
        <v>128</v>
      </c>
      <c r="C31" s="10" t="s">
        <v>137</v>
      </c>
      <c r="D31" s="10" t="s">
        <v>67</v>
      </c>
      <c r="E31" s="10"/>
      <c r="F31" s="10"/>
      <c r="G31" s="10" t="s">
        <v>129</v>
      </c>
      <c r="H31" s="20">
        <v>116000</v>
      </c>
      <c r="I31" s="20">
        <v>57992</v>
      </c>
      <c r="J31" s="193" t="s">
        <v>138</v>
      </c>
      <c r="K31" s="20">
        <v>2417</v>
      </c>
      <c r="L31" s="11" t="s">
        <v>139</v>
      </c>
      <c r="M31" s="20">
        <v>29004</v>
      </c>
      <c r="N31" s="42"/>
      <c r="O31" s="42"/>
      <c r="P31" s="42"/>
      <c r="Q31" s="25">
        <f t="shared" si="1"/>
        <v>0</v>
      </c>
      <c r="R31" s="20">
        <v>29004</v>
      </c>
      <c r="S31" s="42"/>
      <c r="T31" s="42"/>
      <c r="U31" s="20">
        <v>28988</v>
      </c>
      <c r="V31" s="20"/>
      <c r="W31" s="42"/>
      <c r="X31" s="20"/>
      <c r="Y31" s="20"/>
      <c r="Z31" s="42"/>
      <c r="AA31" s="20"/>
      <c r="AB31" s="20"/>
      <c r="AC31" s="42"/>
      <c r="AD31" s="20"/>
      <c r="AE31" s="20"/>
      <c r="AF31" s="42"/>
      <c r="AG31" s="20"/>
      <c r="AH31" s="42"/>
      <c r="AI31" s="20"/>
      <c r="AJ31" s="42"/>
      <c r="AK31" s="20"/>
      <c r="AL31" s="42"/>
      <c r="AM31" s="20"/>
      <c r="AN31" s="42"/>
      <c r="AO31" s="20"/>
      <c r="AP31" s="20"/>
      <c r="AQ31" s="20"/>
      <c r="AR31" s="20"/>
      <c r="AS31" s="20"/>
      <c r="AT31" s="20"/>
      <c r="AU31" s="20"/>
      <c r="AV31" s="20"/>
      <c r="AW31" s="20"/>
      <c r="AX31" s="4"/>
      <c r="AY31" s="4"/>
      <c r="AZ31" s="4"/>
      <c r="BA31" s="4"/>
      <c r="BB31" s="4"/>
      <c r="BC31" s="4"/>
      <c r="BD31" s="4"/>
      <c r="BE31" s="4">
        <f t="shared" si="3"/>
        <v>29004</v>
      </c>
      <c r="BF31" s="4">
        <f t="shared" si="4"/>
        <v>57992</v>
      </c>
      <c r="BG31" s="35"/>
      <c r="BH31" s="11">
        <v>872</v>
      </c>
      <c r="BI31" s="36"/>
      <c r="BJ31" s="36"/>
      <c r="BK31" s="39">
        <v>210</v>
      </c>
      <c r="BL31" s="11"/>
      <c r="BM31" s="36"/>
      <c r="BN31" s="11"/>
      <c r="BO31" s="11"/>
      <c r="BP31" s="36"/>
      <c r="BQ31" s="11"/>
      <c r="BR31" s="36"/>
      <c r="BS31" s="11"/>
      <c r="BT31" s="36"/>
      <c r="BU31" s="11"/>
      <c r="BV31" s="36"/>
      <c r="BW31" s="11"/>
      <c r="BX31" s="36"/>
      <c r="BY31" s="11"/>
      <c r="BZ31" s="36"/>
      <c r="CA31" s="11"/>
      <c r="CB31" s="36"/>
      <c r="CC31" s="11"/>
      <c r="CD31" s="36"/>
      <c r="CE31" s="11"/>
      <c r="CF31" s="37"/>
      <c r="CG31" s="11"/>
      <c r="CH31" s="37"/>
    </row>
    <row r="32" spans="1:88" hidden="1">
      <c r="A32" s="196">
        <v>19</v>
      </c>
      <c r="B32" s="196" t="s">
        <v>140</v>
      </c>
      <c r="C32" s="10" t="s">
        <v>141</v>
      </c>
      <c r="D32" s="10" t="s">
        <v>67</v>
      </c>
      <c r="E32" s="10"/>
      <c r="F32" s="10"/>
      <c r="G32" s="10" t="s">
        <v>142</v>
      </c>
      <c r="H32" s="20">
        <v>400000</v>
      </c>
      <c r="I32" s="20">
        <v>79800</v>
      </c>
      <c r="J32" s="193" t="s">
        <v>143</v>
      </c>
      <c r="K32" s="20">
        <v>6650</v>
      </c>
      <c r="L32" s="11" t="s">
        <v>144</v>
      </c>
      <c r="M32" s="20">
        <v>79800</v>
      </c>
      <c r="N32" s="42"/>
      <c r="O32" s="42"/>
      <c r="P32" s="42"/>
      <c r="Q32" s="49">
        <f t="shared" ref="Q32:Q36" si="5">U32+X32+AA32+AD32+AG32+AI32+AK32+AM32+AO32+AQ32+AS32</f>
        <v>0</v>
      </c>
      <c r="R32" s="20">
        <v>79800</v>
      </c>
      <c r="S32" s="42"/>
      <c r="T32" s="42"/>
      <c r="U32" s="20"/>
      <c r="V32" s="20"/>
      <c r="W32" s="42"/>
      <c r="X32" s="20"/>
      <c r="Y32" s="20"/>
      <c r="Z32" s="42"/>
      <c r="AA32" s="20"/>
      <c r="AB32" s="20"/>
      <c r="AC32" s="42"/>
      <c r="AD32" s="20"/>
      <c r="AE32" s="20"/>
      <c r="AF32" s="42"/>
      <c r="AG32" s="20"/>
      <c r="AH32" s="42"/>
      <c r="AI32" s="20"/>
      <c r="AJ32" s="42"/>
      <c r="AK32" s="20"/>
      <c r="AL32" s="42"/>
      <c r="AM32" s="20"/>
      <c r="AN32" s="42"/>
      <c r="AO32" s="20"/>
      <c r="AP32" s="20"/>
      <c r="AQ32" s="20"/>
      <c r="AR32" s="20"/>
      <c r="AS32" s="20"/>
      <c r="AT32" s="20"/>
      <c r="AU32" s="20"/>
      <c r="AV32" s="20"/>
      <c r="AW32" s="20"/>
      <c r="AX32" s="4"/>
      <c r="AY32" s="4"/>
      <c r="AZ32" s="4"/>
      <c r="BA32" s="4"/>
      <c r="BB32" s="4"/>
      <c r="BC32" s="4"/>
      <c r="BD32" s="4"/>
      <c r="BE32" s="4">
        <f t="shared" si="3"/>
        <v>79800</v>
      </c>
      <c r="BF32" s="4">
        <f t="shared" si="4"/>
        <v>79800</v>
      </c>
      <c r="BG32" s="35"/>
      <c r="BH32" s="11">
        <v>1000</v>
      </c>
      <c r="BI32" s="36"/>
      <c r="BJ32" s="36"/>
      <c r="BK32" s="11"/>
      <c r="BL32" s="11"/>
      <c r="BM32" s="36"/>
      <c r="BN32" s="11"/>
      <c r="BO32" s="11"/>
      <c r="BP32" s="36"/>
      <c r="BQ32" s="11"/>
      <c r="BR32" s="36"/>
      <c r="BS32" s="11"/>
      <c r="BT32" s="36"/>
      <c r="BU32" s="11"/>
      <c r="BV32" s="36"/>
      <c r="BW32" s="11"/>
      <c r="BX32" s="36"/>
      <c r="BY32" s="11"/>
      <c r="BZ32" s="36"/>
      <c r="CA32" s="11"/>
      <c r="CB32" s="36"/>
      <c r="CC32" s="11"/>
      <c r="CD32" s="36"/>
      <c r="CE32" s="11"/>
      <c r="CF32" s="37"/>
      <c r="CG32" s="11"/>
      <c r="CH32" s="37"/>
    </row>
    <row r="33" spans="1:86" hidden="1">
      <c r="A33" s="196">
        <v>20</v>
      </c>
      <c r="B33" s="196" t="s">
        <v>145</v>
      </c>
      <c r="C33" s="10" t="s">
        <v>146</v>
      </c>
      <c r="D33" s="10" t="s">
        <v>67</v>
      </c>
      <c r="E33" s="10"/>
      <c r="F33" s="10"/>
      <c r="G33" s="10" t="s">
        <v>142</v>
      </c>
      <c r="H33" s="20">
        <v>248185</v>
      </c>
      <c r="I33" s="20">
        <v>49657</v>
      </c>
      <c r="J33" s="193" t="s">
        <v>147</v>
      </c>
      <c r="K33" s="20">
        <v>4136</v>
      </c>
      <c r="L33" s="11" t="s">
        <v>144</v>
      </c>
      <c r="M33" s="20">
        <v>49632</v>
      </c>
      <c r="N33" s="42"/>
      <c r="O33" s="42"/>
      <c r="P33" s="42"/>
      <c r="Q33" s="49">
        <f t="shared" si="5"/>
        <v>0</v>
      </c>
      <c r="R33" s="20">
        <v>49657</v>
      </c>
      <c r="S33" s="42"/>
      <c r="T33" s="42"/>
      <c r="U33" s="20"/>
      <c r="V33" s="20"/>
      <c r="W33" s="42"/>
      <c r="X33" s="20"/>
      <c r="Y33" s="20"/>
      <c r="Z33" s="42"/>
      <c r="AA33" s="20"/>
      <c r="AB33" s="20"/>
      <c r="AC33" s="42"/>
      <c r="AD33" s="20"/>
      <c r="AE33" s="20"/>
      <c r="AF33" s="42"/>
      <c r="AG33" s="20"/>
      <c r="AH33" s="42"/>
      <c r="AI33" s="20"/>
      <c r="AJ33" s="42"/>
      <c r="AK33" s="20"/>
      <c r="AL33" s="42"/>
      <c r="AM33" s="20"/>
      <c r="AN33" s="42"/>
      <c r="AO33" s="20"/>
      <c r="AP33" s="20"/>
      <c r="AQ33" s="20"/>
      <c r="AR33" s="20"/>
      <c r="AS33" s="20"/>
      <c r="AT33" s="20"/>
      <c r="AU33" s="20"/>
      <c r="AV33" s="20"/>
      <c r="AW33" s="20"/>
      <c r="AX33" s="4"/>
      <c r="AY33" s="4"/>
      <c r="AZ33" s="4"/>
      <c r="BA33" s="4"/>
      <c r="BB33" s="4"/>
      <c r="BC33" s="4"/>
      <c r="BD33" s="4"/>
      <c r="BE33" s="4">
        <f t="shared" si="3"/>
        <v>49632</v>
      </c>
      <c r="BF33" s="4">
        <f t="shared" si="4"/>
        <v>49657</v>
      </c>
      <c r="BG33" s="35"/>
      <c r="BH33" s="11">
        <v>479</v>
      </c>
      <c r="BI33" s="36"/>
      <c r="BJ33" s="36"/>
      <c r="BK33" s="11"/>
      <c r="BL33" s="11"/>
      <c r="BM33" s="36"/>
      <c r="BN33" s="11"/>
      <c r="BO33" s="11"/>
      <c r="BP33" s="36"/>
      <c r="BQ33" s="11"/>
      <c r="BR33" s="36"/>
      <c r="BS33" s="11"/>
      <c r="BT33" s="36"/>
      <c r="BU33" s="11"/>
      <c r="BV33" s="36"/>
      <c r="BW33" s="11"/>
      <c r="BX33" s="36"/>
      <c r="BY33" s="11"/>
      <c r="BZ33" s="36"/>
      <c r="CA33" s="11"/>
      <c r="CB33" s="36"/>
      <c r="CC33" s="11"/>
      <c r="CD33" s="36"/>
      <c r="CE33" s="11"/>
      <c r="CF33" s="37"/>
      <c r="CG33" s="11"/>
      <c r="CH33" s="37"/>
    </row>
    <row r="34" spans="1:86" hidden="1">
      <c r="A34" s="196">
        <v>21</v>
      </c>
      <c r="B34" s="196" t="s">
        <v>148</v>
      </c>
      <c r="C34" s="10" t="s">
        <v>149</v>
      </c>
      <c r="D34" s="10" t="s">
        <v>110</v>
      </c>
      <c r="E34" s="10"/>
      <c r="F34" s="10"/>
      <c r="G34" s="10" t="s">
        <v>150</v>
      </c>
      <c r="H34" s="20">
        <v>255000</v>
      </c>
      <c r="I34" s="20">
        <v>51000</v>
      </c>
      <c r="J34" s="193" t="s">
        <v>151</v>
      </c>
      <c r="K34" s="20">
        <v>4250</v>
      </c>
      <c r="L34" s="11" t="s">
        <v>144</v>
      </c>
      <c r="M34" s="20">
        <v>51000</v>
      </c>
      <c r="N34" s="42"/>
      <c r="O34" s="42"/>
      <c r="P34" s="42"/>
      <c r="Q34" s="49">
        <f t="shared" si="5"/>
        <v>0</v>
      </c>
      <c r="R34" s="20">
        <v>51000</v>
      </c>
      <c r="S34" s="42"/>
      <c r="T34" s="42"/>
      <c r="U34" s="20"/>
      <c r="V34" s="20"/>
      <c r="W34" s="42"/>
      <c r="X34" s="20"/>
      <c r="Y34" s="20"/>
      <c r="Z34" s="42"/>
      <c r="AA34" s="20"/>
      <c r="AB34" s="20"/>
      <c r="AC34" s="42"/>
      <c r="AD34" s="20"/>
      <c r="AE34" s="20"/>
      <c r="AF34" s="42"/>
      <c r="AG34" s="20"/>
      <c r="AH34" s="42"/>
      <c r="AI34" s="20"/>
      <c r="AJ34" s="42"/>
      <c r="AK34" s="20"/>
      <c r="AL34" s="42"/>
      <c r="AM34" s="20"/>
      <c r="AN34" s="42"/>
      <c r="AO34" s="20"/>
      <c r="AP34" s="20"/>
      <c r="AQ34" s="20"/>
      <c r="AR34" s="20"/>
      <c r="AS34" s="20"/>
      <c r="AT34" s="20"/>
      <c r="AU34" s="20"/>
      <c r="AV34" s="20"/>
      <c r="AW34" s="20"/>
      <c r="AX34" s="4"/>
      <c r="AY34" s="4"/>
      <c r="AZ34" s="4"/>
      <c r="BA34" s="4"/>
      <c r="BB34" s="4"/>
      <c r="BC34" s="4"/>
      <c r="BD34" s="4"/>
      <c r="BE34" s="4">
        <f t="shared" si="3"/>
        <v>51000</v>
      </c>
      <c r="BF34" s="4">
        <f t="shared" si="4"/>
        <v>51000</v>
      </c>
      <c r="BG34" s="35"/>
      <c r="BH34" s="11">
        <v>478</v>
      </c>
      <c r="BI34" s="36"/>
      <c r="BJ34" s="36"/>
      <c r="BK34" s="11"/>
      <c r="BL34" s="11"/>
      <c r="BM34" s="36"/>
      <c r="BN34" s="11"/>
      <c r="BO34" s="11"/>
      <c r="BP34" s="36"/>
      <c r="BQ34" s="11"/>
      <c r="BR34" s="36"/>
      <c r="BS34" s="11"/>
      <c r="BT34" s="36"/>
      <c r="BU34" s="11"/>
      <c r="BV34" s="36"/>
      <c r="BW34" s="11"/>
      <c r="BX34" s="36"/>
      <c r="BY34" s="11"/>
      <c r="BZ34" s="36"/>
      <c r="CA34" s="11"/>
      <c r="CB34" s="36"/>
      <c r="CC34" s="11"/>
      <c r="CD34" s="36"/>
      <c r="CE34" s="11"/>
      <c r="CF34" s="37"/>
      <c r="CG34" s="11"/>
      <c r="CH34" s="37"/>
    </row>
    <row r="35" spans="1:86" hidden="1">
      <c r="A35" s="196">
        <v>22</v>
      </c>
      <c r="B35" s="196" t="s">
        <v>152</v>
      </c>
      <c r="C35" s="10" t="s">
        <v>153</v>
      </c>
      <c r="D35" s="10" t="s">
        <v>67</v>
      </c>
      <c r="E35" s="10"/>
      <c r="F35" s="10"/>
      <c r="G35" s="10" t="s">
        <v>82</v>
      </c>
      <c r="H35" s="20">
        <v>498531</v>
      </c>
      <c r="I35" s="20">
        <v>99696</v>
      </c>
      <c r="J35" s="193" t="s">
        <v>154</v>
      </c>
      <c r="K35" s="20">
        <v>8308</v>
      </c>
      <c r="L35" s="11" t="s">
        <v>144</v>
      </c>
      <c r="M35" s="20">
        <v>99696</v>
      </c>
      <c r="N35" s="42"/>
      <c r="O35" s="42"/>
      <c r="P35" s="42"/>
      <c r="Q35" s="49">
        <f t="shared" si="5"/>
        <v>0</v>
      </c>
      <c r="R35" s="20">
        <v>99696</v>
      </c>
      <c r="S35" s="42"/>
      <c r="T35" s="42"/>
      <c r="U35" s="20"/>
      <c r="V35" s="20"/>
      <c r="W35" s="42"/>
      <c r="X35" s="20"/>
      <c r="Y35" s="20"/>
      <c r="Z35" s="42"/>
      <c r="AA35" s="20"/>
      <c r="AB35" s="20"/>
      <c r="AC35" s="42"/>
      <c r="AD35" s="20"/>
      <c r="AE35" s="20"/>
      <c r="AF35" s="42"/>
      <c r="AG35" s="20"/>
      <c r="AH35" s="42"/>
      <c r="AI35" s="20"/>
      <c r="AJ35" s="42"/>
      <c r="AK35" s="20"/>
      <c r="AL35" s="42"/>
      <c r="AM35" s="20"/>
      <c r="AN35" s="42"/>
      <c r="AO35" s="20"/>
      <c r="AP35" s="20"/>
      <c r="AQ35" s="20"/>
      <c r="AR35" s="20"/>
      <c r="AS35" s="20"/>
      <c r="AT35" s="20"/>
      <c r="AU35" s="20"/>
      <c r="AV35" s="20"/>
      <c r="AW35" s="20"/>
      <c r="AX35" s="4"/>
      <c r="AY35" s="4"/>
      <c r="AZ35" s="4"/>
      <c r="BA35" s="4"/>
      <c r="BB35" s="4"/>
      <c r="BC35" s="4"/>
      <c r="BD35" s="4"/>
      <c r="BE35" s="4">
        <f t="shared" si="3"/>
        <v>99696</v>
      </c>
      <c r="BF35" s="4">
        <f t="shared" si="4"/>
        <v>99696</v>
      </c>
      <c r="BG35" s="35"/>
      <c r="BH35" s="11">
        <v>1124</v>
      </c>
      <c r="BI35" s="36"/>
      <c r="BJ35" s="36"/>
      <c r="BK35" s="11"/>
      <c r="BL35" s="11"/>
      <c r="BM35" s="36"/>
      <c r="BN35" s="11"/>
      <c r="BO35" s="11"/>
      <c r="BP35" s="36"/>
      <c r="BQ35" s="11"/>
      <c r="BR35" s="36"/>
      <c r="BS35" s="11"/>
      <c r="BT35" s="36"/>
      <c r="BU35" s="11"/>
      <c r="BV35" s="36"/>
      <c r="BW35" s="11"/>
      <c r="BX35" s="36"/>
      <c r="BY35" s="11"/>
      <c r="BZ35" s="36"/>
      <c r="CA35" s="11"/>
      <c r="CB35" s="36"/>
      <c r="CC35" s="11"/>
      <c r="CD35" s="36"/>
      <c r="CE35" s="11"/>
      <c r="CF35" s="37"/>
      <c r="CG35" s="11"/>
      <c r="CH35" s="37"/>
    </row>
    <row r="36" spans="1:86" hidden="1">
      <c r="A36" s="196">
        <v>23</v>
      </c>
      <c r="B36" s="196" t="s">
        <v>155</v>
      </c>
      <c r="C36" s="10" t="s">
        <v>156</v>
      </c>
      <c r="D36" s="10" t="s">
        <v>157</v>
      </c>
      <c r="E36" s="10"/>
      <c r="F36" s="10"/>
      <c r="G36" s="10" t="s">
        <v>158</v>
      </c>
      <c r="H36" s="20">
        <v>1350000</v>
      </c>
      <c r="I36" s="20">
        <v>192000</v>
      </c>
      <c r="J36" s="193" t="s">
        <v>159</v>
      </c>
      <c r="K36" s="20">
        <v>16000</v>
      </c>
      <c r="L36" s="11" t="s">
        <v>144</v>
      </c>
      <c r="M36" s="20">
        <v>192000</v>
      </c>
      <c r="N36" s="42"/>
      <c r="O36" s="42"/>
      <c r="P36" s="42"/>
      <c r="Q36" s="49">
        <f t="shared" si="5"/>
        <v>0</v>
      </c>
      <c r="R36" s="20">
        <v>192000</v>
      </c>
      <c r="S36" s="42"/>
      <c r="T36" s="42"/>
      <c r="U36" s="20"/>
      <c r="V36" s="20"/>
      <c r="W36" s="42"/>
      <c r="X36" s="20"/>
      <c r="Y36" s="20"/>
      <c r="Z36" s="42"/>
      <c r="AA36" s="20"/>
      <c r="AB36" s="20"/>
      <c r="AC36" s="42"/>
      <c r="AD36" s="20"/>
      <c r="AE36" s="20"/>
      <c r="AF36" s="42"/>
      <c r="AG36" s="20"/>
      <c r="AH36" s="42"/>
      <c r="AI36" s="20"/>
      <c r="AJ36" s="42"/>
      <c r="AK36" s="20"/>
      <c r="AL36" s="42"/>
      <c r="AM36" s="20"/>
      <c r="AN36" s="42"/>
      <c r="AO36" s="20"/>
      <c r="AP36" s="20"/>
      <c r="AQ36" s="20"/>
      <c r="AR36" s="20"/>
      <c r="AS36" s="20"/>
      <c r="AT36" s="20"/>
      <c r="AU36" s="20"/>
      <c r="AV36" s="20"/>
      <c r="AW36" s="20"/>
      <c r="AX36" s="4"/>
      <c r="AY36" s="4"/>
      <c r="AZ36" s="4"/>
      <c r="BA36" s="4"/>
      <c r="BB36" s="4"/>
      <c r="BC36" s="4"/>
      <c r="BD36" s="4"/>
      <c r="BE36" s="4">
        <f t="shared" si="3"/>
        <v>192000</v>
      </c>
      <c r="BF36" s="4">
        <f t="shared" si="4"/>
        <v>192000</v>
      </c>
      <c r="BG36" s="35"/>
      <c r="BH36" s="11">
        <v>2133</v>
      </c>
      <c r="BI36" s="36"/>
      <c r="BJ36" s="36"/>
      <c r="BK36" s="11"/>
      <c r="BL36" s="11"/>
      <c r="BM36" s="36"/>
      <c r="BN36" s="11"/>
      <c r="BO36" s="11"/>
      <c r="BP36" s="36"/>
      <c r="BQ36" s="11"/>
      <c r="BR36" s="36"/>
      <c r="BS36" s="11"/>
      <c r="BT36" s="36"/>
      <c r="BU36" s="11"/>
      <c r="BV36" s="36"/>
      <c r="BW36" s="11"/>
      <c r="BX36" s="36"/>
      <c r="BY36" s="11"/>
      <c r="BZ36" s="36"/>
      <c r="CA36" s="11"/>
      <c r="CB36" s="36"/>
      <c r="CC36" s="11"/>
      <c r="CD36" s="36"/>
      <c r="CE36" s="11"/>
      <c r="CF36" s="37"/>
      <c r="CG36" s="11"/>
      <c r="CH36" s="37"/>
    </row>
    <row r="37" spans="1:86" hidden="1">
      <c r="A37" s="214" t="s">
        <v>160</v>
      </c>
      <c r="B37" s="215"/>
      <c r="C37" s="50"/>
      <c r="D37" s="50"/>
      <c r="E37" s="50"/>
      <c r="F37" s="50"/>
      <c r="G37" s="50"/>
      <c r="H37" s="178"/>
      <c r="I37" s="51">
        <f>SUM(I19:I36)</f>
        <v>13012812.740000002</v>
      </c>
      <c r="J37" s="8"/>
      <c r="L37" s="52" t="e">
        <f>R37+U37+X37+AA37+AD37+AG37+AI37+AK37+AM37+AO37+AQ37+AS37-R37</f>
        <v>#REF!</v>
      </c>
      <c r="M37" s="51" t="e">
        <f>M36+M35+M34+M33+M32+M31+M30+M29+M28+#REF!+#REF!+M27+M26+#REF!+#REF!+M25+M24+M23+M22+M21+M20+#REF!+M19</f>
        <v>#REF!</v>
      </c>
      <c r="N37" s="53" t="e">
        <f>N20+#REF!</f>
        <v>#REF!</v>
      </c>
      <c r="O37" s="53" t="e">
        <f>#REF!+O20+#REF!</f>
        <v>#REF!</v>
      </c>
      <c r="P37" s="53"/>
      <c r="Q37" s="49" t="e">
        <f>X37+AA37+AD37+AG37+AI37+AK37+AM37+AO37+AQ37+AS37+AU37+AW37</f>
        <v>#REF!</v>
      </c>
      <c r="R37" s="51" t="e">
        <f>R36+R35+R34+R33+R32+R31+R30+R29+R28+#REF!+#REF!+R27+R26+#REF!+#REF!+R25+R24+R23+R22+R21+R20+#REF!+R19+R18</f>
        <v>#REF!</v>
      </c>
      <c r="S37" s="53" t="e">
        <f>S19+S18</f>
        <v>#REF!</v>
      </c>
      <c r="T37" s="53" t="e">
        <f>#REF!+T20+#REF!+T19</f>
        <v>#REF!</v>
      </c>
      <c r="U37" s="51" t="e">
        <f>U36+U35+U34+U33+U32+U31+U30+U29+U28+#REF!+#REF!+U27+U26+#REF!+#REF!+U25+U24+U23+U22+U21+U20+#REF!+U19+U18</f>
        <v>#REF!</v>
      </c>
      <c r="V37" s="51" t="e">
        <f>V18</f>
        <v>#REF!</v>
      </c>
      <c r="W37" s="53" t="e">
        <f>#REF!+W20+#REF!+W19+W18</f>
        <v>#REF!</v>
      </c>
      <c r="X37" s="51" t="e">
        <f>X36+X35+X34+X33+X32+X31+X30+X29+X28+#REF!+#REF!+X27+X26+#REF!+#REF!+X25+X24+X23+X22+X21+X20+#REF!+X19+X18+X17+X16+X15+X14</f>
        <v>#REF!</v>
      </c>
      <c r="Y37" s="51" t="e">
        <f>Y16+Y14+Y18</f>
        <v>#REF!</v>
      </c>
      <c r="Z37" s="53" t="e">
        <f>#REF!+Z20+Z19+Z18+Z16+Z14</f>
        <v>#REF!</v>
      </c>
      <c r="AA37" s="51" t="e">
        <f>AA36+AA35+AA34+AA33+AA32+AA31+AA30+AA29+AA28+#REF!+#REF!+AA27+AA26+#REF!+#REF!+AA25+AA24+AA23+AA22+AA21+AA20+#REF!+AA19+AA18+AA17+AA16+AA15+AA14</f>
        <v>#REF!</v>
      </c>
      <c r="AB37" s="51"/>
      <c r="AC37" s="53" t="e">
        <f>AC20+AC19+AC18+AC16</f>
        <v>#REF!</v>
      </c>
      <c r="AD37" s="51" t="e">
        <f>AD36+AD35+AD34+AD33+AD32+AD31+AD30+AD29+AD28+#REF!+#REF!+AD27+AD26+#REF!+#REF!+AD25+AD24+AD23+AD22+AD21+AD20+#REF!+AD19+AD18+AD17+AD16+AD15+AD14</f>
        <v>#REF!</v>
      </c>
      <c r="AE37" s="51"/>
      <c r="AF37" s="53" t="e">
        <f>AF20+AF19+AF18+AF16</f>
        <v>#REF!</v>
      </c>
      <c r="AG37" s="51" t="e">
        <f>AG36+AG35+AG34+AG33+AG32+AG31+AG30+AG29+AG28+#REF!+#REF!+AG27+AG26+#REF!+#REF!+AG25+AG24+AG23+AG22+AG21+AG20+#REF!+AG19+AG18+AG17+AG16+AG15+AG14</f>
        <v>#REF!</v>
      </c>
      <c r="AH37" s="53" t="e">
        <f>AH20+AH18+AH16</f>
        <v>#REF!</v>
      </c>
      <c r="AI37" s="51" t="e">
        <f>AI36+AI35+AI34+AI33+AI32+AI31+AI30+AI29+AI28+#REF!+#REF!+AI27+AI26+#REF!+#REF!+AI25+AI24+AI23+AI22+AI21+AI20+#REF!+AI19+AI18+AI17+AI16+AI15+AI14</f>
        <v>#REF!</v>
      </c>
      <c r="AJ37" s="53" t="e">
        <f>AJ20+AJ18+AJ16</f>
        <v>#REF!</v>
      </c>
      <c r="AK37" s="51" t="e">
        <f>AK36+AK35+AK34+AK33+AK32+AK31+AK30+AK29+AK28+#REF!+#REF!+AK27+AK26+#REF!+#REF!+AK25+AK24+AK23+AK22+AK21+AK20+#REF!+AK19+AK18+AK17+AK16+AK15+AK14</f>
        <v>#REF!</v>
      </c>
      <c r="AL37" s="53" t="e">
        <f>AL20+AL18+AL16</f>
        <v>#REF!</v>
      </c>
      <c r="AM37" s="51" t="e">
        <f>AM36+AM35+AM34+AM33+AM32+AM31+AM30+AM29+AM28+#REF!+#REF!+AM27+AM26+#REF!+#REF!+AM25+AM24+AM23+AM22+AM21+AM20+#REF!+AM19+AM18+AM17+AM16+AM15+AM14</f>
        <v>#REF!</v>
      </c>
      <c r="AN37" s="53" t="e">
        <f>AN18+AN16</f>
        <v>#REF!</v>
      </c>
      <c r="AO37" s="51" t="e">
        <f>AO36+AO35+AO34+AO33+AO32+AO31+AO30+AO29+AO28+#REF!+#REF!+AO27+AO26+#REF!+#REF!+AO25+AO24+AO23+AO22+AO21+AO20+#REF!+AO19+AO18+AO17+AO16+AO15+AO14</f>
        <v>#REF!</v>
      </c>
      <c r="AP37" s="51" t="e">
        <f>AP16</f>
        <v>#REF!</v>
      </c>
      <c r="AQ37" s="51" t="e">
        <f>AQ18+AQ17+AQ16+AQ15+AQ14</f>
        <v>#REF!</v>
      </c>
      <c r="AR37" s="51" t="e">
        <f>AR16</f>
        <v>#REF!</v>
      </c>
      <c r="AS37" s="51" t="e">
        <f>AS18+AS17+AS16+AS15+AS14</f>
        <v>#REF!</v>
      </c>
      <c r="AT37" s="51" t="e">
        <f>AT16</f>
        <v>#REF!</v>
      </c>
      <c r="AU37" s="51" t="e">
        <f>AU16+AU15+AU14</f>
        <v>#REF!</v>
      </c>
      <c r="AV37" s="51">
        <f>AV16</f>
        <v>0</v>
      </c>
      <c r="AW37" s="51" t="e">
        <f>AW16+AW15+AW14</f>
        <v>#REF!</v>
      </c>
      <c r="AX37" s="54"/>
      <c r="AY37" s="54"/>
      <c r="AZ37" s="54"/>
      <c r="BA37" s="54"/>
      <c r="BB37" s="54"/>
      <c r="BC37" s="54"/>
      <c r="BD37" s="54"/>
      <c r="BG37" s="3"/>
    </row>
    <row r="38" spans="1:86" ht="14.25" hidden="1" customHeight="1">
      <c r="A38" s="8"/>
      <c r="B38" s="8"/>
      <c r="H38" s="4"/>
      <c r="I38" s="4" t="e">
        <f>I37-L37</f>
        <v>#REF!</v>
      </c>
      <c r="J38" s="8"/>
      <c r="K38" s="4">
        <f>K45+K46+K47+K49+K50</f>
        <v>0</v>
      </c>
      <c r="M38" s="4"/>
      <c r="N38" s="4"/>
      <c r="O38" s="4"/>
      <c r="P38" s="4"/>
      <c r="Q38" s="4" t="e">
        <f>Q31+Q30+Q29+Q28+#REF!+#REF!+Q27+Q26+#REF!+#REF!+Q25+Q24+Q23+Q22+Q21+Q20+#REF!+Q19+Q18+Q17</f>
        <v>#REF!</v>
      </c>
      <c r="R38" s="4"/>
      <c r="S38" s="4"/>
      <c r="T38" s="4"/>
      <c r="U38" s="4"/>
      <c r="V38" s="4"/>
      <c r="W38" s="4"/>
      <c r="X38" s="4"/>
      <c r="Y38" s="4" t="e">
        <f>X37+AA37+AD37+AG37+AI37</f>
        <v>#REF!</v>
      </c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55" t="e">
        <f>AK37+AM37+AO37+AQ37+AS37</f>
        <v>#REF!</v>
      </c>
      <c r="AM38" s="4"/>
      <c r="AN38" s="56" t="e">
        <f>AL38+Y38+U37</f>
        <v>#REF!</v>
      </c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G38" s="3"/>
    </row>
    <row r="39" spans="1:86" ht="34.5" hidden="1" customHeight="1">
      <c r="A39" s="8"/>
      <c r="B39" s="8"/>
      <c r="D39" s="57"/>
      <c r="E39" s="57"/>
      <c r="F39" s="57"/>
      <c r="G39" s="57"/>
      <c r="H39" s="64"/>
      <c r="I39" s="57"/>
      <c r="J39" s="8"/>
      <c r="K39" s="58"/>
      <c r="L39" s="59" t="s">
        <v>161</v>
      </c>
      <c r="M39" s="60">
        <f>N39</f>
        <v>58548.800000000003</v>
      </c>
      <c r="N39" s="61">
        <v>58548.800000000003</v>
      </c>
      <c r="O39" s="62"/>
      <c r="P39" s="62"/>
      <c r="Q39" s="62"/>
      <c r="R39" s="60">
        <f>S39+T39</f>
        <v>2775691.1399999997</v>
      </c>
      <c r="S39" s="61">
        <v>2686229.51</v>
      </c>
      <c r="T39" s="61">
        <f>45755.39+23982.91+19723.33</f>
        <v>89461.63</v>
      </c>
      <c r="U39" s="60">
        <f>104761.11+157158.01+152930.64</f>
        <v>414849.76</v>
      </c>
      <c r="V39" s="60"/>
      <c r="W39" s="61">
        <f>67696.41+45755.36+23982.91+19723.33</f>
        <v>157158.01</v>
      </c>
      <c r="X39" s="39">
        <f>137434.68+152930.64+104761.04</f>
        <v>395126.36</v>
      </c>
      <c r="Y39" s="39"/>
      <c r="Z39" s="61">
        <f>23982.91+45755.36+67696.41</f>
        <v>137434.68</v>
      </c>
      <c r="AA39" s="60">
        <f>137434.67+104761.04+152930.64</f>
        <v>395126.35000000003</v>
      </c>
      <c r="AB39" s="60"/>
      <c r="AC39" s="61">
        <f>23982.9+45755.36+67696.41</f>
        <v>137434.67000000001</v>
      </c>
      <c r="AD39" s="60">
        <f>45755.36+67696.41+104761.04+152930.64</f>
        <v>371143.45</v>
      </c>
      <c r="AE39" s="60"/>
      <c r="AF39" s="61">
        <f>45755.36+67696.41</f>
        <v>113451.77</v>
      </c>
      <c r="AG39" s="60">
        <f>67696.41+104761.04+152930.64</f>
        <v>325388.09000000003</v>
      </c>
      <c r="AH39" s="61">
        <v>67696.41</v>
      </c>
      <c r="AI39" s="60">
        <f>67696.41+104761.04+152930.64</f>
        <v>325388.09000000003</v>
      </c>
      <c r="AJ39" s="61">
        <v>67696.41</v>
      </c>
      <c r="AK39" s="60">
        <f>67696.39+104761.04+152930.64</f>
        <v>325388.07</v>
      </c>
      <c r="AL39" s="61">
        <v>67696.39</v>
      </c>
      <c r="AM39" s="60">
        <f>67696.33+104761.04+152930.64</f>
        <v>325388.01</v>
      </c>
      <c r="AN39" s="61">
        <v>67696.33</v>
      </c>
      <c r="AO39" s="60">
        <f>152930.56</f>
        <v>152930.56</v>
      </c>
      <c r="AP39" s="60"/>
      <c r="AQ39" s="60"/>
      <c r="AR39" s="60"/>
      <c r="AS39" s="60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G39" s="3"/>
    </row>
    <row r="40" spans="1:86" hidden="1">
      <c r="A40" s="8"/>
      <c r="B40" s="8"/>
      <c r="D40" s="57"/>
      <c r="E40" s="57"/>
      <c r="F40" s="57"/>
      <c r="G40" s="64">
        <f>M23+R23+U23+X23+AA23+AD23+AG23</f>
        <v>2075989</v>
      </c>
      <c r="H40" s="65">
        <f>M40+R40+U40+X40+AA40</f>
        <v>0</v>
      </c>
      <c r="I40" s="57"/>
      <c r="J40" s="200" t="s">
        <v>162</v>
      </c>
      <c r="K40" s="58"/>
      <c r="L40" s="66" t="s">
        <v>163</v>
      </c>
      <c r="M40" s="67"/>
      <c r="N40" s="68"/>
      <c r="O40" s="69"/>
      <c r="P40" s="69"/>
      <c r="Q40" s="69"/>
      <c r="R40" s="67"/>
      <c r="S40" s="68"/>
      <c r="T40" s="68"/>
      <c r="U40" s="67"/>
      <c r="V40" s="67"/>
      <c r="W40" s="68"/>
      <c r="X40" s="67"/>
      <c r="Y40" s="67"/>
      <c r="Z40" s="68"/>
      <c r="AA40" s="67"/>
      <c r="AB40" s="67"/>
      <c r="AC40" s="68"/>
      <c r="AD40" s="20"/>
      <c r="AE40" s="20"/>
      <c r="AF40" s="29"/>
      <c r="AG40" s="20"/>
      <c r="AH40" s="29"/>
      <c r="AI40" s="20"/>
      <c r="AJ40" s="29"/>
      <c r="AK40" s="20"/>
      <c r="AL40" s="29"/>
      <c r="AM40" s="20"/>
      <c r="AN40" s="29"/>
      <c r="AO40" s="20"/>
      <c r="AP40" s="20"/>
      <c r="AQ40" s="20"/>
      <c r="AR40" s="20"/>
      <c r="AS40" s="20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F40" s="4">
        <f>AO40+AM40+AK40+AI40+AG40+AD40+AA40+X40+U40+R40</f>
        <v>0</v>
      </c>
      <c r="BG40" s="35"/>
      <c r="BH40" s="70">
        <v>2552.4699999999998</v>
      </c>
      <c r="BI40" s="71"/>
      <c r="BJ40" s="71"/>
      <c r="BK40" s="70">
        <v>1831.8</v>
      </c>
      <c r="BL40" s="70"/>
      <c r="BM40" s="71"/>
      <c r="BN40" s="70">
        <v>1111.08</v>
      </c>
      <c r="BO40" s="70"/>
      <c r="BP40" s="70"/>
      <c r="BQ40" s="70">
        <v>390.36</v>
      </c>
      <c r="BR40" s="71"/>
      <c r="BS40" s="70"/>
      <c r="BT40" s="71"/>
      <c r="BU40" s="70"/>
      <c r="BV40" s="71"/>
      <c r="BW40" s="70"/>
      <c r="BX40" s="70"/>
      <c r="BY40" s="70"/>
      <c r="BZ40" s="70"/>
      <c r="CA40" s="70"/>
      <c r="CB40" s="71"/>
      <c r="CC40" s="70"/>
      <c r="CD40" s="71"/>
      <c r="CE40" s="70"/>
      <c r="CF40" s="70"/>
      <c r="CG40" s="70"/>
    </row>
    <row r="41" spans="1:86" ht="30" hidden="1">
      <c r="A41" s="8"/>
      <c r="B41" s="8"/>
      <c r="D41" s="57"/>
      <c r="E41" s="57"/>
      <c r="F41" s="57"/>
      <c r="G41" s="57"/>
      <c r="H41" s="72">
        <f>R41+U41+X41+AA41+AD41</f>
        <v>629023.82999999996</v>
      </c>
      <c r="I41" s="57"/>
      <c r="J41" s="200"/>
      <c r="K41" s="58"/>
      <c r="L41" s="73" t="s">
        <v>81</v>
      </c>
      <c r="M41" s="20"/>
      <c r="N41" s="29"/>
      <c r="O41" s="21"/>
      <c r="P41" s="21"/>
      <c r="Q41" s="21"/>
      <c r="R41" s="20">
        <f>400247+45755.39</f>
        <v>446002.39</v>
      </c>
      <c r="S41" s="29">
        <v>400247</v>
      </c>
      <c r="T41" s="29">
        <v>45755.39</v>
      </c>
      <c r="U41" s="20">
        <v>45755.360000000001</v>
      </c>
      <c r="V41" s="20"/>
      <c r="W41" s="29">
        <v>45755.360000000001</v>
      </c>
      <c r="X41" s="20">
        <v>45755.360000000001</v>
      </c>
      <c r="Y41" s="20"/>
      <c r="Z41" s="29">
        <v>45755.360000000001</v>
      </c>
      <c r="AA41" s="20">
        <v>45755.360000000001</v>
      </c>
      <c r="AB41" s="20"/>
      <c r="AC41" s="29">
        <v>45755.360000000001</v>
      </c>
      <c r="AD41" s="20">
        <v>45755.360000000001</v>
      </c>
      <c r="AE41" s="20"/>
      <c r="AF41" s="29">
        <v>45755.360000000001</v>
      </c>
      <c r="AG41" s="20"/>
      <c r="AH41" s="29"/>
      <c r="AI41" s="20"/>
      <c r="AJ41" s="29"/>
      <c r="AK41" s="20"/>
      <c r="AL41" s="29"/>
      <c r="AM41" s="20"/>
      <c r="AN41" s="29"/>
      <c r="AO41" s="20"/>
      <c r="AP41" s="20"/>
      <c r="AQ41" s="20"/>
      <c r="AR41" s="20"/>
      <c r="AS41" s="20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F41" s="4">
        <f>AO41+AM41+AK41+AI41+AG41+AD41+AA41+X41+U41+R41</f>
        <v>629023.83000000007</v>
      </c>
      <c r="BG41" s="35"/>
      <c r="BH41" s="70">
        <v>13712.73</v>
      </c>
      <c r="BI41" s="71"/>
      <c r="BJ41" s="71"/>
      <c r="BK41" s="70">
        <v>10693.41</v>
      </c>
      <c r="BL41" s="70"/>
      <c r="BM41" s="71"/>
      <c r="BN41" s="70">
        <v>7674.09</v>
      </c>
      <c r="BO41" s="70"/>
      <c r="BP41" s="70"/>
      <c r="BQ41" s="70">
        <v>4654.7700000000004</v>
      </c>
      <c r="BR41" s="71"/>
      <c r="BS41" s="70">
        <v>1635.45</v>
      </c>
      <c r="BT41" s="71"/>
      <c r="BU41" s="70"/>
      <c r="BV41" s="71"/>
      <c r="BW41" s="70"/>
      <c r="BX41" s="70"/>
      <c r="BY41" s="70"/>
      <c r="BZ41" s="70"/>
      <c r="CA41" s="70"/>
      <c r="CB41" s="71"/>
      <c r="CC41" s="70"/>
      <c r="CD41" s="71"/>
      <c r="CE41" s="70"/>
      <c r="CF41" s="70"/>
      <c r="CG41" s="70"/>
    </row>
    <row r="42" spans="1:86" hidden="1">
      <c r="A42" s="8"/>
      <c r="B42" s="8"/>
      <c r="D42" s="57"/>
      <c r="E42" s="57"/>
      <c r="F42" s="57"/>
      <c r="G42" s="57"/>
      <c r="H42" s="72">
        <f>R42+U42</f>
        <v>128300</v>
      </c>
      <c r="I42" s="57"/>
      <c r="J42" s="200"/>
      <c r="K42" s="58"/>
      <c r="L42" s="73" t="s">
        <v>74</v>
      </c>
      <c r="M42" s="20"/>
      <c r="N42" s="29"/>
      <c r="O42" s="21"/>
      <c r="P42" s="21"/>
      <c r="Q42" s="21"/>
      <c r="R42" s="20">
        <f>88853.33+19723.33</f>
        <v>108576.66</v>
      </c>
      <c r="S42" s="29">
        <v>88853.33</v>
      </c>
      <c r="T42" s="29">
        <v>19723.330000000002</v>
      </c>
      <c r="U42" s="20">
        <v>19723.34</v>
      </c>
      <c r="V42" s="20"/>
      <c r="W42" s="29">
        <v>19723.34</v>
      </c>
      <c r="X42" s="11"/>
      <c r="Y42" s="11"/>
      <c r="Z42" s="29"/>
      <c r="AA42" s="20"/>
      <c r="AB42" s="20"/>
      <c r="AC42" s="29"/>
      <c r="AD42" s="20"/>
      <c r="AE42" s="20"/>
      <c r="AF42" s="29"/>
      <c r="AG42" s="20"/>
      <c r="AH42" s="29"/>
      <c r="AI42" s="20"/>
      <c r="AJ42" s="29"/>
      <c r="AK42" s="20"/>
      <c r="AL42" s="29"/>
      <c r="AM42" s="20"/>
      <c r="AN42" s="29"/>
      <c r="AO42" s="20"/>
      <c r="AP42" s="20"/>
      <c r="AQ42" s="20"/>
      <c r="AR42" s="20"/>
      <c r="AS42" s="20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F42" s="4">
        <f>AO42+AM42+AK42+AI42+AG42+AD42+AA42+X42+U42+R42</f>
        <v>128300</v>
      </c>
      <c r="BG42" s="35"/>
      <c r="BH42" s="70">
        <v>2373.56</v>
      </c>
      <c r="BI42" s="71"/>
      <c r="BJ42" s="71"/>
      <c r="BK42" s="70">
        <v>833.96</v>
      </c>
      <c r="BL42" s="70"/>
      <c r="BM42" s="71"/>
      <c r="BN42" s="70"/>
      <c r="BO42" s="70"/>
      <c r="BP42" s="70"/>
      <c r="BQ42" s="70"/>
      <c r="BR42" s="71"/>
      <c r="BS42" s="70"/>
      <c r="BT42" s="71"/>
      <c r="BU42" s="70"/>
      <c r="BV42" s="71"/>
      <c r="BW42" s="70"/>
      <c r="BX42" s="70"/>
      <c r="BY42" s="70"/>
      <c r="BZ42" s="70"/>
      <c r="CA42" s="70"/>
      <c r="CB42" s="71"/>
      <c r="CC42" s="70"/>
      <c r="CD42" s="71"/>
      <c r="CE42" s="70"/>
      <c r="CF42" s="70"/>
      <c r="CG42" s="70"/>
    </row>
    <row r="43" spans="1:86" hidden="1">
      <c r="A43" s="8"/>
      <c r="B43" s="8"/>
      <c r="D43" s="57"/>
      <c r="E43" s="57"/>
      <c r="F43" s="57"/>
      <c r="G43" s="64">
        <f>G44+H43+H40</f>
        <v>1595412.21</v>
      </c>
      <c r="H43" s="65">
        <f>R43</f>
        <v>0</v>
      </c>
      <c r="I43" s="57"/>
      <c r="J43" s="200"/>
      <c r="K43" s="58"/>
      <c r="L43" s="73" t="s">
        <v>85</v>
      </c>
      <c r="M43" s="20"/>
      <c r="N43" s="29"/>
      <c r="O43" s="21"/>
      <c r="P43" s="21"/>
      <c r="Q43" s="21"/>
      <c r="R43" s="67"/>
      <c r="S43" s="68"/>
      <c r="T43" s="29"/>
      <c r="U43" s="20"/>
      <c r="V43" s="20"/>
      <c r="W43" s="29"/>
      <c r="X43" s="11"/>
      <c r="Y43" s="11"/>
      <c r="Z43" s="29"/>
      <c r="AA43" s="20"/>
      <c r="AB43" s="20"/>
      <c r="AC43" s="29"/>
      <c r="AD43" s="20"/>
      <c r="AE43" s="20"/>
      <c r="AF43" s="29"/>
      <c r="AG43" s="20"/>
      <c r="AH43" s="29"/>
      <c r="AI43" s="20"/>
      <c r="AJ43" s="29"/>
      <c r="AK43" s="20"/>
      <c r="AL43" s="29"/>
      <c r="AM43" s="20"/>
      <c r="AN43" s="29"/>
      <c r="AO43" s="20"/>
      <c r="AP43" s="20"/>
      <c r="AQ43" s="20"/>
      <c r="AR43" s="20"/>
      <c r="AS43" s="20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F43" s="4">
        <f>AO43+AM43+AK43+AI43+AG43+AD43+AA43+X43+U43+R43</f>
        <v>0</v>
      </c>
      <c r="BG43" s="35"/>
      <c r="BH43" s="11">
        <v>0</v>
      </c>
      <c r="BI43" s="37"/>
      <c r="BJ43" s="37"/>
      <c r="BK43" s="11"/>
      <c r="BL43" s="11"/>
      <c r="BM43" s="37"/>
      <c r="BN43" s="11"/>
      <c r="BO43" s="11"/>
      <c r="BP43" s="11"/>
      <c r="BQ43" s="11"/>
      <c r="BR43" s="37"/>
      <c r="BS43" s="11"/>
      <c r="BT43" s="37"/>
      <c r="BU43" s="11"/>
      <c r="BV43" s="37"/>
      <c r="BW43" s="11"/>
      <c r="BX43" s="11"/>
      <c r="BY43" s="11"/>
      <c r="BZ43" s="11"/>
      <c r="CA43" s="11"/>
      <c r="CB43" s="37"/>
      <c r="CC43" s="11"/>
      <c r="CD43" s="37"/>
      <c r="CE43" s="11"/>
      <c r="CF43" s="11"/>
      <c r="CG43" s="11"/>
    </row>
    <row r="44" spans="1:86" hidden="1">
      <c r="A44" s="8"/>
      <c r="B44" s="8"/>
      <c r="D44" s="57"/>
      <c r="E44" s="57"/>
      <c r="F44" s="57"/>
      <c r="G44" s="72">
        <f>H44+H42+H41</f>
        <v>1595412.21</v>
      </c>
      <c r="H44" s="72">
        <f>SUM(M44:AM44)</f>
        <v>838088.38</v>
      </c>
      <c r="I44" s="57"/>
      <c r="J44" s="200"/>
      <c r="K44" s="58"/>
      <c r="L44" s="73" t="s">
        <v>164</v>
      </c>
      <c r="M44" s="20"/>
      <c r="N44" s="29"/>
      <c r="O44" s="21"/>
      <c r="P44" s="21"/>
      <c r="Q44" s="21"/>
      <c r="R44" s="20"/>
      <c r="S44" s="29"/>
      <c r="T44" s="29"/>
      <c r="U44" s="74"/>
      <c r="V44" s="74"/>
      <c r="W44" s="29"/>
      <c r="X44" s="75"/>
      <c r="Y44" s="75"/>
      <c r="Z44" s="29"/>
      <c r="AA44" s="11">
        <f>104761.04+34920.36</f>
        <v>139681.4</v>
      </c>
      <c r="AB44" s="11"/>
      <c r="AC44" s="11"/>
      <c r="AD44" s="11">
        <f>104761.04+34920.36</f>
        <v>139681.4</v>
      </c>
      <c r="AE44" s="11"/>
      <c r="AF44" s="29"/>
      <c r="AG44" s="11">
        <f>104761.04+34920.36</f>
        <v>139681.4</v>
      </c>
      <c r="AH44" s="29"/>
      <c r="AI44" s="11">
        <f>104761.04+34920.36</f>
        <v>139681.4</v>
      </c>
      <c r="AJ44" s="29"/>
      <c r="AK44" s="11">
        <f>104761.04+34920.36</f>
        <v>139681.4</v>
      </c>
      <c r="AL44" s="29"/>
      <c r="AM44" s="11">
        <f>104761.04+34920.34</f>
        <v>139681.38</v>
      </c>
      <c r="AN44" s="29"/>
      <c r="AO44" s="20"/>
      <c r="AP44" s="20"/>
      <c r="AQ44" s="20"/>
      <c r="AR44" s="20"/>
      <c r="AS44" s="20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F44" s="4">
        <f>AO44+AM44+AK44+AI44+AG44+AD44+AA44+X44+U44+R44</f>
        <v>838088.38000000012</v>
      </c>
      <c r="BG44" s="35"/>
      <c r="BH44" s="76">
        <v>20114.16</v>
      </c>
      <c r="BI44" s="77"/>
      <c r="BJ44" s="77"/>
      <c r="BK44" s="76">
        <v>18961.8</v>
      </c>
      <c r="BL44" s="76"/>
      <c r="BM44" s="77"/>
      <c r="BN44" s="76">
        <v>14447.99</v>
      </c>
      <c r="BO44" s="76"/>
      <c r="BP44" s="76"/>
      <c r="BQ44" s="76">
        <v>13933.2</v>
      </c>
      <c r="BR44" s="77"/>
      <c r="BS44" s="76">
        <v>11418.96</v>
      </c>
      <c r="BT44" s="77"/>
      <c r="BU44" s="76">
        <v>8904.7199999999993</v>
      </c>
      <c r="BV44" s="77"/>
      <c r="BW44" s="76">
        <v>6390.46</v>
      </c>
      <c r="BX44" s="76"/>
      <c r="BY44" s="76">
        <v>3876.12</v>
      </c>
      <c r="BZ44" s="76"/>
      <c r="CA44" s="76">
        <v>1361.88</v>
      </c>
      <c r="CB44" s="77"/>
      <c r="CC44" s="76"/>
      <c r="CD44" s="77"/>
      <c r="CE44" s="76"/>
      <c r="CF44" s="76"/>
      <c r="CG44" s="76"/>
    </row>
    <row r="45" spans="1:86" hidden="1">
      <c r="A45" s="8"/>
      <c r="B45" s="216" t="s">
        <v>84</v>
      </c>
      <c r="C45" s="79" t="s">
        <v>165</v>
      </c>
      <c r="D45" s="80"/>
      <c r="E45" s="80"/>
      <c r="F45" s="80"/>
      <c r="G45" s="81"/>
      <c r="H45" s="81"/>
      <c r="I45" s="80"/>
      <c r="J45" s="201" t="s">
        <v>166</v>
      </c>
      <c r="K45" s="82">
        <f>R45+U45</f>
        <v>0</v>
      </c>
      <c r="L45" s="83" t="s">
        <v>84</v>
      </c>
      <c r="M45" s="20"/>
      <c r="N45" s="29"/>
      <c r="O45" s="21"/>
      <c r="P45" s="21"/>
      <c r="Q45" s="21"/>
      <c r="R45" s="84">
        <f>S45+T45</f>
        <v>0</v>
      </c>
      <c r="S45" s="85"/>
      <c r="T45" s="85"/>
      <c r="U45" s="84"/>
      <c r="V45" s="84"/>
      <c r="W45" s="85"/>
      <c r="X45" s="86"/>
      <c r="Y45" s="86"/>
      <c r="Z45" s="87"/>
      <c r="AA45" s="86"/>
      <c r="AB45" s="86"/>
      <c r="AC45" s="86"/>
      <c r="AD45" s="86"/>
      <c r="AE45" s="86"/>
      <c r="AF45" s="87"/>
      <c r="AG45" s="86"/>
      <c r="AH45" s="87"/>
      <c r="AI45" s="86"/>
      <c r="AJ45" s="87"/>
      <c r="AK45" s="86"/>
      <c r="AL45" s="87"/>
      <c r="AM45" s="86"/>
      <c r="AN45" s="87"/>
      <c r="AO45" s="88"/>
      <c r="AP45" s="88"/>
      <c r="AQ45" s="88"/>
      <c r="AR45" s="88"/>
      <c r="AS45" s="88"/>
      <c r="AT45" s="20"/>
      <c r="AU45" s="20"/>
      <c r="AV45" s="20"/>
      <c r="AW45" s="20"/>
      <c r="AX45" s="4"/>
      <c r="AY45" s="4"/>
      <c r="AZ45" s="4"/>
      <c r="BA45" s="4"/>
      <c r="BB45" s="4"/>
      <c r="BC45" s="4"/>
      <c r="BD45" s="4"/>
      <c r="BF45" s="4"/>
      <c r="BG45" s="35"/>
      <c r="BH45" s="76">
        <v>3371</v>
      </c>
      <c r="BI45" s="77">
        <v>2659</v>
      </c>
      <c r="BJ45" s="77">
        <v>712</v>
      </c>
      <c r="BK45" s="43">
        <f>BL45+BM45</f>
        <v>815</v>
      </c>
      <c r="BL45" s="89">
        <v>228</v>
      </c>
      <c r="BM45" s="89">
        <v>587</v>
      </c>
      <c r="BN45" s="11"/>
      <c r="BO45" s="36"/>
      <c r="BP45" s="36"/>
      <c r="BQ45" s="11"/>
      <c r="BR45" s="36"/>
      <c r="BS45" s="11"/>
      <c r="BT45" s="36"/>
      <c r="BU45" s="11"/>
      <c r="BV45" s="36"/>
      <c r="BW45" s="11"/>
      <c r="BX45" s="36"/>
      <c r="BY45" s="11"/>
      <c r="BZ45" s="36"/>
      <c r="CA45" s="11"/>
      <c r="CB45" s="36"/>
      <c r="CC45" s="11"/>
      <c r="CD45" s="36"/>
      <c r="CE45" s="11"/>
      <c r="CF45" s="36"/>
      <c r="CG45" s="11"/>
      <c r="CH45" s="36"/>
    </row>
    <row r="46" spans="1:86" hidden="1">
      <c r="A46" s="8"/>
      <c r="B46" s="216" t="s">
        <v>167</v>
      </c>
      <c r="C46" s="79" t="s">
        <v>165</v>
      </c>
      <c r="D46" s="80"/>
      <c r="E46" s="80"/>
      <c r="F46" s="80"/>
      <c r="G46" s="80"/>
      <c r="H46" s="81">
        <f>R46+U46+X46+AA46++AD46+AG46+AI46+AK46+AM46</f>
        <v>0</v>
      </c>
      <c r="I46" s="81">
        <f>W46+Z46+AC46+AF46+AH46+AJ46+AL46+AN46</f>
        <v>0</v>
      </c>
      <c r="J46" s="201" t="s">
        <v>166</v>
      </c>
      <c r="K46" s="82">
        <f>R46+U46+X46+AA46+AD46+AG46+AI46+AK46+AM46</f>
        <v>0</v>
      </c>
      <c r="L46" s="78" t="s">
        <v>167</v>
      </c>
      <c r="M46" s="20"/>
      <c r="N46" s="29"/>
      <c r="O46" s="21"/>
      <c r="P46" s="21"/>
      <c r="Q46" s="21"/>
      <c r="R46" s="88"/>
      <c r="S46" s="87"/>
      <c r="T46" s="87"/>
      <c r="U46" s="88"/>
      <c r="V46" s="88"/>
      <c r="W46" s="87"/>
      <c r="X46" s="88"/>
      <c r="Y46" s="88"/>
      <c r="Z46" s="87"/>
      <c r="AA46" s="88"/>
      <c r="AB46" s="88"/>
      <c r="AC46" s="87"/>
      <c r="AD46" s="88"/>
      <c r="AE46" s="88"/>
      <c r="AF46" s="87"/>
      <c r="AG46" s="88"/>
      <c r="AH46" s="87"/>
      <c r="AI46" s="88"/>
      <c r="AJ46" s="87"/>
      <c r="AK46" s="88"/>
      <c r="AL46" s="87"/>
      <c r="AM46" s="88"/>
      <c r="AN46" s="87"/>
      <c r="AO46" s="88"/>
      <c r="AP46" s="88"/>
      <c r="AQ46" s="88"/>
      <c r="AR46" s="88"/>
      <c r="AS46" s="88"/>
      <c r="AT46" s="20"/>
      <c r="AU46" s="20"/>
      <c r="AV46" s="20"/>
      <c r="AW46" s="20"/>
      <c r="AX46" s="4"/>
      <c r="AY46" s="4"/>
      <c r="AZ46" s="4"/>
      <c r="BA46" s="4"/>
      <c r="BB46" s="4"/>
      <c r="BC46" s="4"/>
      <c r="BD46" s="4"/>
      <c r="BE46" s="4">
        <f>AM46+AK46+AI46+AG46+AD46+AA46+X46+U46+R46</f>
        <v>0</v>
      </c>
      <c r="BF46" s="4">
        <f>AO46+AM46+AK46+AI46+AG46+AD46+AA46+X46+U46+R46</f>
        <v>0</v>
      </c>
      <c r="BG46" s="35"/>
      <c r="BH46" s="11">
        <v>13280</v>
      </c>
      <c r="BI46" s="36">
        <v>7643</v>
      </c>
      <c r="BJ46" s="36">
        <v>5637</v>
      </c>
      <c r="BK46" s="43">
        <v>7352</v>
      </c>
      <c r="BL46" s="44"/>
      <c r="BM46" s="44">
        <v>7352</v>
      </c>
      <c r="BN46" s="11">
        <v>6377</v>
      </c>
      <c r="BO46" s="36"/>
      <c r="BP46" s="36">
        <v>6377</v>
      </c>
      <c r="BQ46" s="11">
        <v>5402</v>
      </c>
      <c r="BR46" s="36">
        <v>5402</v>
      </c>
      <c r="BS46" s="11">
        <v>4427</v>
      </c>
      <c r="BT46" s="36">
        <v>4427</v>
      </c>
      <c r="BU46" s="11">
        <v>3453</v>
      </c>
      <c r="BV46" s="36">
        <v>3453</v>
      </c>
      <c r="BW46" s="11">
        <v>2478</v>
      </c>
      <c r="BX46" s="36">
        <v>2478</v>
      </c>
      <c r="BY46" s="11">
        <v>1503</v>
      </c>
      <c r="BZ46" s="36">
        <v>1503</v>
      </c>
      <c r="CA46" s="11">
        <v>528</v>
      </c>
      <c r="CB46" s="36">
        <v>528</v>
      </c>
      <c r="CC46" s="11"/>
      <c r="CD46" s="36"/>
      <c r="CE46" s="11"/>
      <c r="CF46" s="36"/>
      <c r="CG46" s="11"/>
      <c r="CH46" s="36"/>
    </row>
    <row r="47" spans="1:86" ht="30" hidden="1">
      <c r="A47" s="8"/>
      <c r="B47" s="216" t="s">
        <v>168</v>
      </c>
      <c r="C47" s="79" t="s">
        <v>165</v>
      </c>
      <c r="D47" s="80"/>
      <c r="E47" s="80"/>
      <c r="F47" s="80"/>
      <c r="G47" s="80"/>
      <c r="H47" s="81">
        <f>R47+U47+X47+AA47+AD47+AG47+AI47+AK47+AM47+AO47+AQ47+AS47</f>
        <v>0</v>
      </c>
      <c r="I47" s="81">
        <f>AA47+AD47+AG47+AI47+AK47+AM47+AO47+AQ47+AS47</f>
        <v>0</v>
      </c>
      <c r="J47" s="201" t="s">
        <v>166</v>
      </c>
      <c r="K47" s="82">
        <f>R47+AA47+AD47+AG47+AI47+AK47+AM47+AO47+AQ47+AS47+U47</f>
        <v>0</v>
      </c>
      <c r="L47" s="83" t="s">
        <v>168</v>
      </c>
      <c r="M47" s="90"/>
      <c r="N47" s="91"/>
      <c r="O47" s="92"/>
      <c r="P47" s="92"/>
      <c r="Q47" s="92"/>
      <c r="R47" s="84"/>
      <c r="S47" s="85"/>
      <c r="T47" s="85"/>
      <c r="U47" s="84"/>
      <c r="V47" s="85"/>
      <c r="W47" s="87"/>
      <c r="X47" s="88"/>
      <c r="Y47" s="88"/>
      <c r="Z47" s="87"/>
      <c r="AA47" s="88"/>
      <c r="AB47" s="88"/>
      <c r="AC47" s="87"/>
      <c r="AD47" s="88"/>
      <c r="AE47" s="88"/>
      <c r="AF47" s="87"/>
      <c r="AG47" s="88"/>
      <c r="AH47" s="87"/>
      <c r="AI47" s="88"/>
      <c r="AJ47" s="87"/>
      <c r="AK47" s="88"/>
      <c r="AL47" s="87"/>
      <c r="AM47" s="88"/>
      <c r="AN47" s="87"/>
      <c r="AO47" s="88"/>
      <c r="AP47" s="88"/>
      <c r="AQ47" s="88"/>
      <c r="AR47" s="88"/>
      <c r="AS47" s="88"/>
      <c r="AT47" s="93"/>
      <c r="AU47" s="93"/>
      <c r="AV47" s="93"/>
      <c r="AW47" s="93"/>
      <c r="AX47" s="94"/>
      <c r="AY47" s="94"/>
      <c r="AZ47" s="94"/>
      <c r="BA47" s="94"/>
      <c r="BB47" s="94"/>
      <c r="BC47" s="94"/>
      <c r="BD47" s="94"/>
      <c r="BF47" s="4">
        <f>AO47+AM47+AK47+AI47+AG47+AD47+AA47+X47+U47+R47+AQ47+AS47</f>
        <v>0</v>
      </c>
      <c r="BG47" s="35"/>
      <c r="BH47" s="76">
        <v>13360</v>
      </c>
      <c r="BI47" s="77">
        <v>6753</v>
      </c>
      <c r="BJ47" s="77"/>
      <c r="BK47" s="95">
        <f>27516+BL47</f>
        <v>53310.12</v>
      </c>
      <c r="BL47" s="89">
        <f>2344.92*11</f>
        <v>25794.120000000003</v>
      </c>
      <c r="BM47" s="40"/>
      <c r="BN47" s="11">
        <v>26125.68</v>
      </c>
      <c r="BO47" s="36"/>
      <c r="BP47" s="36"/>
      <c r="BQ47" s="11">
        <v>26125.68</v>
      </c>
      <c r="BR47" s="36"/>
      <c r="BS47" s="11">
        <v>23067.02</v>
      </c>
      <c r="BT47" s="36"/>
      <c r="BU47" s="11">
        <v>21813.87</v>
      </c>
      <c r="BV47" s="36"/>
      <c r="BW47" s="11">
        <v>16949.810000000001</v>
      </c>
      <c r="BX47" s="36"/>
      <c r="BY47" s="11">
        <v>13891.2</v>
      </c>
      <c r="BZ47" s="36"/>
      <c r="CA47" s="11">
        <v>10832.6</v>
      </c>
      <c r="CB47" s="36"/>
      <c r="CC47" s="11">
        <v>7773.96</v>
      </c>
      <c r="CD47" s="36"/>
      <c r="CE47" s="11">
        <v>4715.3900000000003</v>
      </c>
      <c r="CF47" s="36"/>
      <c r="CG47" s="11">
        <v>1656.72</v>
      </c>
      <c r="CH47" s="36"/>
    </row>
    <row r="48" spans="1:86" ht="45" hidden="1">
      <c r="A48" s="8"/>
      <c r="B48" s="216" t="s">
        <v>169</v>
      </c>
      <c r="C48" s="79" t="s">
        <v>165</v>
      </c>
      <c r="D48" s="80"/>
      <c r="E48" s="80"/>
      <c r="F48" s="80"/>
      <c r="G48" s="80"/>
      <c r="H48" s="81"/>
      <c r="I48" s="80"/>
      <c r="J48" s="202" t="s">
        <v>170</v>
      </c>
      <c r="K48" s="96">
        <f>AA48+AD48+AG48+AI48+AK48+AM48</f>
        <v>0</v>
      </c>
      <c r="L48" s="66" t="s">
        <v>169</v>
      </c>
      <c r="M48" s="20"/>
      <c r="N48" s="29"/>
      <c r="O48" s="21"/>
      <c r="P48" s="21"/>
      <c r="Q48" s="21"/>
      <c r="R48" s="88"/>
      <c r="S48" s="87"/>
      <c r="T48" s="87"/>
      <c r="U48" s="88"/>
      <c r="V48" s="88"/>
      <c r="W48" s="87"/>
      <c r="X48" s="88"/>
      <c r="Y48" s="88"/>
      <c r="Z48" s="87"/>
      <c r="AA48" s="88"/>
      <c r="AB48" s="88"/>
      <c r="AC48" s="87"/>
      <c r="AD48" s="88"/>
      <c r="AE48" s="88"/>
      <c r="AF48" s="87"/>
      <c r="AG48" s="88"/>
      <c r="AH48" s="87"/>
      <c r="AI48" s="88"/>
      <c r="AJ48" s="87"/>
      <c r="AK48" s="88"/>
      <c r="AL48" s="87"/>
      <c r="AM48" s="88"/>
      <c r="AN48" s="87"/>
      <c r="AO48" s="88"/>
      <c r="AP48" s="88"/>
      <c r="AQ48" s="88"/>
      <c r="AR48" s="88"/>
      <c r="AS48" s="88"/>
      <c r="AT48" s="93"/>
      <c r="AU48" s="93"/>
      <c r="AV48" s="93"/>
      <c r="AW48" s="93"/>
      <c r="AX48" s="94"/>
      <c r="AY48" s="94"/>
      <c r="AZ48" s="94"/>
      <c r="BA48" s="94"/>
      <c r="BB48" s="94"/>
      <c r="BC48" s="94"/>
      <c r="BD48" s="94"/>
      <c r="BE48" s="4">
        <f>AM48+AK48+AI48+AG48+AD48+AA48</f>
        <v>0</v>
      </c>
      <c r="BF48" s="4"/>
      <c r="BG48" s="35"/>
      <c r="BH48" s="11">
        <v>264</v>
      </c>
      <c r="BI48" s="36"/>
      <c r="BJ48" s="36"/>
      <c r="BK48" s="43">
        <v>792</v>
      </c>
      <c r="BL48" s="36"/>
      <c r="BM48" s="36"/>
      <c r="BN48" s="11">
        <v>792</v>
      </c>
      <c r="BO48" s="36"/>
      <c r="BP48" s="36"/>
      <c r="BQ48" s="11">
        <v>731</v>
      </c>
      <c r="BR48" s="36"/>
      <c r="BS48" s="11">
        <v>599</v>
      </c>
      <c r="BT48" s="36"/>
      <c r="BU48" s="11">
        <v>467</v>
      </c>
      <c r="BV48" s="36"/>
      <c r="BW48" s="11">
        <v>355</v>
      </c>
      <c r="BX48" s="36"/>
      <c r="BY48" s="11">
        <v>203</v>
      </c>
      <c r="BZ48" s="36"/>
      <c r="CA48" s="11">
        <v>71</v>
      </c>
      <c r="CB48" s="36"/>
      <c r="CC48" s="11"/>
      <c r="CD48" s="36"/>
      <c r="CE48" s="11"/>
      <c r="CF48" s="36"/>
      <c r="CG48" s="11"/>
      <c r="CH48" s="36"/>
    </row>
    <row r="49" spans="1:86" hidden="1">
      <c r="A49" s="8"/>
      <c r="B49" s="216" t="s">
        <v>75</v>
      </c>
      <c r="C49" s="79" t="s">
        <v>165</v>
      </c>
      <c r="D49" s="80"/>
      <c r="E49" s="80"/>
      <c r="F49" s="80"/>
      <c r="G49" s="80"/>
      <c r="H49" s="81">
        <f>K45+K46+K47+K48+K49+K50</f>
        <v>0</v>
      </c>
      <c r="I49" s="80"/>
      <c r="J49" s="201" t="s">
        <v>166</v>
      </c>
      <c r="K49" s="97">
        <f>AA49+AD49+AG49+AI49+AK49+AM49+AO49+AQ49+AS49</f>
        <v>0</v>
      </c>
      <c r="L49" s="78" t="s">
        <v>75</v>
      </c>
      <c r="M49" s="20"/>
      <c r="N49" s="29"/>
      <c r="O49" s="21"/>
      <c r="P49" s="21"/>
      <c r="Q49" s="21"/>
      <c r="R49" s="88"/>
      <c r="S49" s="87"/>
      <c r="T49" s="87"/>
      <c r="U49" s="88"/>
      <c r="V49" s="88"/>
      <c r="W49" s="87"/>
      <c r="X49" s="88"/>
      <c r="Y49" s="88"/>
      <c r="Z49" s="87"/>
      <c r="AA49" s="88"/>
      <c r="AB49" s="88"/>
      <c r="AC49" s="87"/>
      <c r="AD49" s="88"/>
      <c r="AE49" s="88"/>
      <c r="AF49" s="87"/>
      <c r="AG49" s="88"/>
      <c r="AH49" s="87"/>
      <c r="AI49" s="88"/>
      <c r="AJ49" s="87"/>
      <c r="AK49" s="88"/>
      <c r="AL49" s="87"/>
      <c r="AM49" s="88"/>
      <c r="AN49" s="87"/>
      <c r="AO49" s="88"/>
      <c r="AP49" s="88"/>
      <c r="AQ49" s="88"/>
      <c r="AR49" s="88"/>
      <c r="AS49" s="88"/>
      <c r="AT49" s="93"/>
      <c r="AU49" s="93"/>
      <c r="AV49" s="93"/>
      <c r="AW49" s="93"/>
      <c r="AX49" s="94"/>
      <c r="AY49" s="94"/>
      <c r="AZ49" s="94"/>
      <c r="BA49" s="94"/>
      <c r="BB49" s="94"/>
      <c r="BC49" s="94"/>
      <c r="BD49" s="94"/>
      <c r="BE49" s="4">
        <f>AS49+AQ49+AO49+AM49+AK49+AI49+AG49+AD49+AA49</f>
        <v>0</v>
      </c>
      <c r="BF49" s="4"/>
      <c r="BG49" s="35"/>
      <c r="BH49" s="11">
        <v>2036</v>
      </c>
      <c r="BI49" s="36"/>
      <c r="BJ49" s="36"/>
      <c r="BK49" s="43">
        <v>6108</v>
      </c>
      <c r="BL49" s="36"/>
      <c r="BM49" s="36"/>
      <c r="BN49" s="11">
        <v>6108</v>
      </c>
      <c r="BO49" s="36"/>
      <c r="BP49" s="36"/>
      <c r="BQ49" s="11">
        <v>5797</v>
      </c>
      <c r="BR49" s="36"/>
      <c r="BS49" s="11">
        <v>5118</v>
      </c>
      <c r="BT49" s="36"/>
      <c r="BU49" s="11">
        <v>4440</v>
      </c>
      <c r="BV49" s="36"/>
      <c r="BW49" s="11">
        <v>3761</v>
      </c>
      <c r="BX49" s="36"/>
      <c r="BY49" s="11">
        <v>3082</v>
      </c>
      <c r="BZ49" s="36"/>
      <c r="CA49" s="11">
        <v>2404</v>
      </c>
      <c r="CB49" s="36"/>
      <c r="CC49" s="11">
        <v>1725</v>
      </c>
      <c r="CD49" s="36"/>
      <c r="CE49" s="11">
        <v>1046</v>
      </c>
      <c r="CF49" s="36"/>
      <c r="CG49" s="11">
        <v>368</v>
      </c>
      <c r="CH49" s="36"/>
    </row>
    <row r="50" spans="1:86" hidden="1">
      <c r="A50" s="8"/>
      <c r="B50" s="216" t="s">
        <v>63</v>
      </c>
      <c r="C50" s="79" t="s">
        <v>165</v>
      </c>
      <c r="D50" s="80"/>
      <c r="E50" s="80"/>
      <c r="F50" s="80"/>
      <c r="G50" s="80"/>
      <c r="H50" s="81"/>
      <c r="I50" s="80"/>
      <c r="J50" s="201" t="s">
        <v>166</v>
      </c>
      <c r="K50" s="82">
        <f>AA50+AD50+AG50+AI50+AK50+AM50+AO50+AQ50+AS50</f>
        <v>0</v>
      </c>
      <c r="L50" s="78" t="s">
        <v>63</v>
      </c>
      <c r="M50" s="20"/>
      <c r="N50" s="29"/>
      <c r="O50" s="21"/>
      <c r="P50" s="21"/>
      <c r="Q50" s="21"/>
      <c r="R50" s="88"/>
      <c r="S50" s="87"/>
      <c r="T50" s="87"/>
      <c r="U50" s="88"/>
      <c r="V50" s="88"/>
      <c r="W50" s="87"/>
      <c r="X50" s="88"/>
      <c r="Y50" s="88"/>
      <c r="Z50" s="87"/>
      <c r="AA50" s="88"/>
      <c r="AB50" s="88"/>
      <c r="AC50" s="87"/>
      <c r="AD50" s="88"/>
      <c r="AE50" s="88"/>
      <c r="AF50" s="87"/>
      <c r="AG50" s="88"/>
      <c r="AH50" s="87"/>
      <c r="AI50" s="88"/>
      <c r="AJ50" s="87"/>
      <c r="AK50" s="88"/>
      <c r="AL50" s="87"/>
      <c r="AM50" s="88"/>
      <c r="AN50" s="87"/>
      <c r="AO50" s="88"/>
      <c r="AP50" s="88"/>
      <c r="AQ50" s="88"/>
      <c r="AR50" s="88"/>
      <c r="AS50" s="88"/>
      <c r="AT50" s="93"/>
      <c r="AU50" s="93"/>
      <c r="AV50" s="93"/>
      <c r="AW50" s="93"/>
      <c r="AX50" s="94"/>
      <c r="AY50" s="94"/>
      <c r="AZ50" s="94"/>
      <c r="BA50" s="94"/>
      <c r="BB50" s="94"/>
      <c r="BC50" s="94"/>
      <c r="BD50" s="94"/>
      <c r="BE50" s="4">
        <f>AS50+AQ50+AO50+AM50+AK50+AI50+AG50+AD50+AA50</f>
        <v>0</v>
      </c>
      <c r="BF50" s="4"/>
      <c r="BG50" s="35"/>
      <c r="BH50" s="11">
        <v>4608</v>
      </c>
      <c r="BI50" s="36"/>
      <c r="BJ50" s="36"/>
      <c r="BK50" s="43">
        <v>6349</v>
      </c>
      <c r="BL50" s="36"/>
      <c r="BM50" s="36"/>
      <c r="BN50" s="11">
        <v>6349</v>
      </c>
      <c r="BO50" s="36"/>
      <c r="BP50" s="36"/>
      <c r="BQ50" s="11">
        <v>6026</v>
      </c>
      <c r="BR50" s="36"/>
      <c r="BS50" s="11">
        <v>5320</v>
      </c>
      <c r="BT50" s="36"/>
      <c r="BU50" s="11">
        <v>4615</v>
      </c>
      <c r="BV50" s="36"/>
      <c r="BW50" s="11">
        <v>3909</v>
      </c>
      <c r="BX50" s="36"/>
      <c r="BY50" s="11">
        <v>3204</v>
      </c>
      <c r="BZ50" s="36"/>
      <c r="CA50" s="11">
        <v>2498</v>
      </c>
      <c r="CB50" s="36"/>
      <c r="CC50" s="11">
        <v>1793</v>
      </c>
      <c r="CD50" s="36"/>
      <c r="CE50" s="11">
        <v>1088</v>
      </c>
      <c r="CF50" s="36"/>
      <c r="CG50" s="11">
        <v>382</v>
      </c>
      <c r="CH50" s="36"/>
    </row>
    <row r="51" spans="1:86" hidden="1">
      <c r="A51" s="8"/>
      <c r="B51" s="216"/>
      <c r="C51" s="79"/>
      <c r="D51" s="98"/>
      <c r="E51" s="98"/>
      <c r="F51" s="98"/>
      <c r="G51" s="98" t="s">
        <v>171</v>
      </c>
      <c r="H51" s="99">
        <v>374302</v>
      </c>
      <c r="I51" s="98"/>
      <c r="J51" s="203" t="s">
        <v>166</v>
      </c>
      <c r="K51" s="97">
        <f>R51+U51+X51+AA51+AD51+AG51+AI51+AK51+AM51+AO51+AQ51+AS51</f>
        <v>0</v>
      </c>
      <c r="L51" s="100" t="s">
        <v>172</v>
      </c>
      <c r="M51" s="45"/>
      <c r="N51" s="101"/>
      <c r="O51" s="26"/>
      <c r="P51" s="26"/>
      <c r="Q51" s="26"/>
      <c r="R51" s="102"/>
      <c r="S51" s="103"/>
      <c r="T51" s="103"/>
      <c r="U51" s="102"/>
      <c r="V51" s="102"/>
      <c r="W51" s="103"/>
      <c r="X51" s="102"/>
      <c r="Y51" s="102"/>
      <c r="Z51" s="103"/>
      <c r="AA51" s="102"/>
      <c r="AB51" s="102"/>
      <c r="AC51" s="103"/>
      <c r="AD51" s="102"/>
      <c r="AE51" s="102"/>
      <c r="AF51" s="103"/>
      <c r="AG51" s="102"/>
      <c r="AH51" s="103"/>
      <c r="AI51" s="102"/>
      <c r="AJ51" s="103"/>
      <c r="AK51" s="102"/>
      <c r="AL51" s="103"/>
      <c r="AM51" s="102"/>
      <c r="AN51" s="103"/>
      <c r="AO51" s="102"/>
      <c r="AP51" s="102"/>
      <c r="AQ51" s="102"/>
      <c r="AR51" s="102"/>
      <c r="AS51" s="102"/>
      <c r="AT51" s="93"/>
      <c r="AU51" s="93"/>
      <c r="AV51" s="93"/>
      <c r="AW51" s="93"/>
      <c r="AX51" s="94"/>
      <c r="AY51" s="94"/>
      <c r="AZ51" s="94"/>
      <c r="BA51" s="94"/>
      <c r="BB51" s="94"/>
      <c r="BC51" s="94"/>
      <c r="BD51" s="94"/>
      <c r="BE51" s="4"/>
      <c r="BF51" s="4"/>
      <c r="BG51" s="35"/>
      <c r="BH51" s="11"/>
      <c r="BI51" s="36"/>
      <c r="BJ51" s="36"/>
      <c r="BK51" s="43">
        <v>6000</v>
      </c>
      <c r="BL51" s="36"/>
      <c r="BM51" s="36"/>
      <c r="BN51" s="11">
        <v>5725</v>
      </c>
      <c r="BO51" s="36"/>
      <c r="BP51" s="36"/>
      <c r="BQ51" s="11">
        <v>5125</v>
      </c>
      <c r="BR51" s="36"/>
      <c r="BS51" s="11">
        <v>4525</v>
      </c>
      <c r="BT51" s="36"/>
      <c r="BU51" s="11">
        <v>3925</v>
      </c>
      <c r="BV51" s="36"/>
      <c r="BW51" s="11">
        <v>3325</v>
      </c>
      <c r="BX51" s="36"/>
      <c r="BY51" s="11">
        <v>2725</v>
      </c>
      <c r="BZ51" s="36"/>
      <c r="CA51" s="11">
        <v>2125</v>
      </c>
      <c r="CB51" s="36"/>
      <c r="CC51" s="11">
        <v>1525</v>
      </c>
      <c r="CD51" s="36"/>
      <c r="CE51" s="11">
        <v>925</v>
      </c>
      <c r="CF51" s="36"/>
      <c r="CG51" s="11">
        <v>325</v>
      </c>
      <c r="CH51" s="36"/>
    </row>
    <row r="52" spans="1:86" ht="42.75" hidden="1" customHeight="1">
      <c r="A52" s="8"/>
      <c r="B52" s="197" t="s">
        <v>169</v>
      </c>
      <c r="D52" s="57"/>
      <c r="E52" s="57"/>
      <c r="F52" s="57"/>
      <c r="G52" s="57"/>
      <c r="H52" s="64">
        <f>U47+X47+AA47+AD47+AG47+AI47+AK47+AM47+AO47+AQ47+AS47</f>
        <v>0</v>
      </c>
      <c r="I52" s="104" t="s">
        <v>173</v>
      </c>
      <c r="J52" s="204">
        <f>K52+K53+K54+K55+K56</f>
        <v>0</v>
      </c>
      <c r="K52" s="105"/>
      <c r="L52" s="106"/>
      <c r="M52" s="107"/>
      <c r="N52" s="108"/>
      <c r="O52" s="109"/>
      <c r="P52" s="109"/>
      <c r="Q52" s="109"/>
      <c r="R52" s="107"/>
      <c r="S52" s="108"/>
      <c r="T52" s="108"/>
      <c r="U52" s="107"/>
      <c r="V52" s="107"/>
      <c r="W52" s="108"/>
      <c r="X52" s="107"/>
      <c r="Y52" s="107"/>
      <c r="Z52" s="108"/>
      <c r="AA52" s="107"/>
      <c r="AB52" s="107"/>
      <c r="AC52" s="108"/>
      <c r="AD52" s="107"/>
      <c r="AE52" s="107"/>
      <c r="AF52" s="108"/>
      <c r="AG52" s="107"/>
      <c r="AH52" s="108"/>
      <c r="AI52" s="107"/>
      <c r="AJ52" s="108"/>
      <c r="AK52" s="107"/>
      <c r="AL52" s="108"/>
      <c r="AM52" s="107"/>
      <c r="AN52" s="108"/>
      <c r="AO52" s="107"/>
      <c r="AP52" s="107"/>
      <c r="AQ52" s="107"/>
      <c r="AR52" s="107"/>
      <c r="AS52" s="107"/>
      <c r="AT52" s="107"/>
      <c r="AU52" s="107"/>
      <c r="AV52" s="107"/>
      <c r="AW52" s="107"/>
      <c r="AX52" s="110"/>
      <c r="AY52" s="110"/>
      <c r="AZ52" s="110"/>
      <c r="BA52" s="110"/>
      <c r="BB52" s="110"/>
      <c r="BC52" s="110"/>
      <c r="BD52" s="110"/>
      <c r="BE52">
        <f>AM52+AK52+AI52+AG52+AD52+AA52+X52</f>
        <v>0</v>
      </c>
      <c r="BF52" s="4">
        <f>AO52+AM52+AK52+AI52+AG52+AD52+AA52+X52+U52+R52</f>
        <v>0</v>
      </c>
      <c r="BG52" s="35"/>
      <c r="BH52" s="11"/>
      <c r="BI52" s="36"/>
      <c r="BJ52" s="36"/>
      <c r="BK52" s="43">
        <v>4356</v>
      </c>
      <c r="BL52" s="44"/>
      <c r="BM52" s="44"/>
      <c r="BN52" s="43">
        <v>4356</v>
      </c>
      <c r="BO52" s="44"/>
      <c r="BP52" s="44"/>
      <c r="BQ52" s="11">
        <v>4005</v>
      </c>
      <c r="BR52" s="36"/>
      <c r="BS52" s="11">
        <v>3238</v>
      </c>
      <c r="BT52" s="36"/>
      <c r="BU52" s="11">
        <v>2472</v>
      </c>
      <c r="BV52" s="36"/>
      <c r="BW52" s="11">
        <v>1706</v>
      </c>
      <c r="BX52" s="36"/>
      <c r="BY52" s="11">
        <v>939</v>
      </c>
      <c r="BZ52" s="36"/>
      <c r="CA52" s="11">
        <v>284</v>
      </c>
      <c r="CB52" s="36"/>
      <c r="CC52" s="11"/>
      <c r="CD52" s="36"/>
      <c r="CE52" s="11"/>
      <c r="CF52" s="36"/>
      <c r="CG52" s="11"/>
      <c r="CH52" s="36"/>
    </row>
    <row r="53" spans="1:86" hidden="1">
      <c r="A53" s="8"/>
      <c r="B53" s="197"/>
      <c r="D53" s="57"/>
      <c r="E53" s="57"/>
      <c r="F53" s="57"/>
      <c r="G53" s="57"/>
      <c r="H53" s="64"/>
      <c r="I53" s="57"/>
      <c r="J53" s="8"/>
      <c r="K53" s="105"/>
      <c r="L53" s="106"/>
      <c r="M53" s="107"/>
      <c r="N53" s="108"/>
      <c r="O53" s="109"/>
      <c r="P53" s="109"/>
      <c r="Q53" s="109"/>
      <c r="R53" s="107"/>
      <c r="S53" s="108"/>
      <c r="T53" s="108"/>
      <c r="U53" s="107"/>
      <c r="V53" s="107"/>
      <c r="W53" s="108"/>
      <c r="X53" s="107"/>
      <c r="Y53" s="107"/>
      <c r="Z53" s="108"/>
      <c r="AA53" s="107"/>
      <c r="AB53" s="107"/>
      <c r="AC53" s="108"/>
      <c r="AD53" s="107"/>
      <c r="AE53" s="107"/>
      <c r="AF53" s="108"/>
      <c r="AG53" s="107"/>
      <c r="AH53" s="108"/>
      <c r="AI53" s="107"/>
      <c r="AJ53" s="108"/>
      <c r="AK53" s="107"/>
      <c r="AL53" s="108"/>
      <c r="AM53" s="107"/>
      <c r="AN53" s="108"/>
      <c r="AO53" s="107"/>
      <c r="AP53" s="107"/>
      <c r="AQ53" s="107"/>
      <c r="AR53" s="107"/>
      <c r="AS53" s="107"/>
      <c r="AT53" s="107"/>
      <c r="AU53" s="107"/>
      <c r="AV53" s="107"/>
      <c r="AW53" s="107"/>
      <c r="AX53" s="110"/>
      <c r="AY53" s="110"/>
      <c r="AZ53" s="110"/>
      <c r="BA53" s="110"/>
      <c r="BB53" s="110"/>
      <c r="BC53" s="110"/>
      <c r="BD53" s="110"/>
      <c r="BF53" s="4"/>
      <c r="BG53" s="35"/>
      <c r="BH53" s="11"/>
      <c r="BI53" s="36"/>
      <c r="BJ53" s="36"/>
      <c r="BK53" s="43"/>
      <c r="BL53" s="44"/>
      <c r="BM53" s="44"/>
      <c r="BN53" s="43"/>
      <c r="BO53" s="44"/>
      <c r="BP53" s="44"/>
      <c r="BQ53" s="11"/>
      <c r="BR53" s="36"/>
      <c r="BS53" s="11"/>
      <c r="BT53" s="36"/>
      <c r="BU53" s="11"/>
      <c r="BV53" s="36"/>
      <c r="BW53" s="11"/>
      <c r="BX53" s="36"/>
      <c r="BY53" s="11"/>
      <c r="BZ53" s="36"/>
      <c r="CA53" s="11"/>
      <c r="CB53" s="36"/>
      <c r="CC53" s="11"/>
      <c r="CD53" s="36"/>
      <c r="CE53" s="11"/>
      <c r="CF53" s="36"/>
      <c r="CG53" s="11"/>
      <c r="CH53" s="36"/>
    </row>
    <row r="54" spans="1:86" hidden="1">
      <c r="A54" s="8"/>
      <c r="B54" s="197"/>
      <c r="D54" s="57"/>
      <c r="E54" s="57"/>
      <c r="F54" s="57"/>
      <c r="G54" s="57"/>
      <c r="H54" s="64"/>
      <c r="I54" s="57"/>
      <c r="J54" s="8"/>
      <c r="K54" s="105"/>
      <c r="L54" s="106"/>
      <c r="M54" s="107"/>
      <c r="N54" s="108"/>
      <c r="O54" s="109"/>
      <c r="P54" s="109"/>
      <c r="Q54" s="109"/>
      <c r="R54" s="107"/>
      <c r="S54" s="108"/>
      <c r="T54" s="108"/>
      <c r="U54" s="107"/>
      <c r="V54" s="107"/>
      <c r="W54" s="108"/>
      <c r="X54" s="107"/>
      <c r="Y54" s="109"/>
      <c r="Z54" s="108"/>
      <c r="AA54" s="107"/>
      <c r="AB54" s="107"/>
      <c r="AC54" s="108"/>
      <c r="AD54" s="107"/>
      <c r="AE54" s="107"/>
      <c r="AF54" s="108"/>
      <c r="AG54" s="107"/>
      <c r="AH54" s="108"/>
      <c r="AI54" s="107"/>
      <c r="AJ54" s="108"/>
      <c r="AK54" s="107"/>
      <c r="AL54" s="108"/>
      <c r="AM54" s="107"/>
      <c r="AN54" s="108"/>
      <c r="AO54" s="107"/>
      <c r="AP54" s="108"/>
      <c r="AQ54" s="107"/>
      <c r="AR54" s="108"/>
      <c r="AS54" s="107"/>
      <c r="AT54" s="108"/>
      <c r="AU54" s="108"/>
      <c r="AV54" s="108"/>
      <c r="AW54" s="108"/>
      <c r="AX54" s="111"/>
      <c r="AY54" s="111"/>
      <c r="AZ54" s="111"/>
      <c r="BA54" s="111"/>
      <c r="BB54" s="111"/>
      <c r="BC54" s="111"/>
      <c r="BD54" s="111"/>
      <c r="BF54" s="4"/>
      <c r="BG54" s="35"/>
      <c r="BH54" s="11"/>
      <c r="BI54" s="36"/>
      <c r="BJ54" s="36"/>
      <c r="BK54" s="43"/>
      <c r="BL54" s="44"/>
      <c r="BM54" s="44"/>
      <c r="BN54" s="43"/>
      <c r="BO54" s="44"/>
      <c r="BP54" s="44"/>
      <c r="BQ54" s="11"/>
      <c r="BR54" s="36"/>
      <c r="BS54" s="11"/>
      <c r="BT54" s="36"/>
      <c r="BU54" s="11"/>
      <c r="BV54" s="36"/>
      <c r="BW54" s="11"/>
      <c r="BX54" s="36"/>
      <c r="BY54" s="11"/>
      <c r="BZ54" s="36"/>
      <c r="CA54" s="11"/>
      <c r="CB54" s="36"/>
      <c r="CC54" s="11"/>
      <c r="CD54" s="36"/>
      <c r="CE54" s="11"/>
      <c r="CF54" s="36"/>
      <c r="CG54" s="11"/>
      <c r="CH54" s="36"/>
    </row>
    <row r="55" spans="1:86" hidden="1">
      <c r="A55" s="8"/>
      <c r="B55" s="197"/>
      <c r="D55" s="57"/>
      <c r="E55" s="57"/>
      <c r="F55" s="57"/>
      <c r="G55" s="57"/>
      <c r="H55" s="64"/>
      <c r="I55" s="57"/>
      <c r="J55" s="195">
        <f>K56+K55+K54+K53+K52</f>
        <v>0</v>
      </c>
      <c r="K55" s="112"/>
      <c r="L55" s="113"/>
      <c r="M55" s="107"/>
      <c r="N55" s="108"/>
      <c r="O55" s="109"/>
      <c r="P55" s="109"/>
      <c r="Q55" s="109"/>
      <c r="R55" s="107"/>
      <c r="S55" s="108"/>
      <c r="T55" s="108"/>
      <c r="U55" s="107"/>
      <c r="V55" s="107"/>
      <c r="W55" s="108"/>
      <c r="X55" s="107"/>
      <c r="Y55" s="109"/>
      <c r="Z55" s="108"/>
      <c r="AA55" s="107"/>
      <c r="AB55" s="107"/>
      <c r="AC55" s="108"/>
      <c r="AD55" s="107"/>
      <c r="AE55" s="107"/>
      <c r="AF55" s="108"/>
      <c r="AG55" s="107"/>
      <c r="AH55" s="108"/>
      <c r="AI55" s="107"/>
      <c r="AJ55" s="108"/>
      <c r="AK55" s="107"/>
      <c r="AL55" s="108"/>
      <c r="AM55" s="107"/>
      <c r="AN55" s="108"/>
      <c r="AO55" s="107"/>
      <c r="AP55" s="108"/>
      <c r="AQ55" s="107"/>
      <c r="AR55" s="108"/>
      <c r="AS55" s="107"/>
      <c r="AT55" s="111"/>
      <c r="AU55" s="107"/>
      <c r="AV55" s="107"/>
      <c r="AW55" s="107"/>
      <c r="AX55" s="110"/>
      <c r="AY55" s="110"/>
      <c r="AZ55" s="110"/>
      <c r="BA55" s="110"/>
      <c r="BB55" s="110"/>
      <c r="BC55" s="110"/>
      <c r="BD55" s="110"/>
      <c r="BF55" s="4"/>
      <c r="BG55" s="35"/>
      <c r="BH55" s="11"/>
      <c r="BI55" s="36"/>
      <c r="BJ55" s="36"/>
      <c r="BK55" s="43"/>
      <c r="BL55" s="44"/>
      <c r="BM55" s="44"/>
      <c r="BN55" s="43"/>
      <c r="BO55" s="44"/>
      <c r="BP55" s="44"/>
      <c r="BQ55" s="11"/>
      <c r="BR55" s="36"/>
      <c r="BS55" s="11"/>
      <c r="BT55" s="36"/>
      <c r="BU55" s="11"/>
      <c r="BV55" s="36"/>
      <c r="BW55" s="11"/>
      <c r="BX55" s="36"/>
      <c r="BY55" s="11"/>
      <c r="BZ55" s="36"/>
      <c r="CA55" s="11"/>
      <c r="CB55" s="36"/>
      <c r="CC55" s="11"/>
      <c r="CD55" s="36"/>
      <c r="CE55" s="11"/>
      <c r="CF55" s="36"/>
      <c r="CG55" s="11"/>
      <c r="CH55" s="36"/>
    </row>
    <row r="56" spans="1:86" hidden="1">
      <c r="A56" s="8"/>
      <c r="B56" s="197"/>
      <c r="D56" s="57"/>
      <c r="E56" s="57"/>
      <c r="F56" s="57"/>
      <c r="G56" s="57"/>
      <c r="H56" s="64">
        <f>H57+H58+H60+H61+H62-J57</f>
        <v>0</v>
      </c>
      <c r="I56" s="57"/>
      <c r="J56" s="8"/>
      <c r="K56" s="105"/>
      <c r="L56" s="114"/>
      <c r="M56" s="107"/>
      <c r="N56" s="108"/>
      <c r="O56" s="109"/>
      <c r="P56" s="109"/>
      <c r="Q56" s="109"/>
      <c r="R56" s="107"/>
      <c r="S56" s="108"/>
      <c r="T56" s="108"/>
      <c r="U56" s="107"/>
      <c r="V56" s="107"/>
      <c r="W56" s="108"/>
      <c r="X56" s="107"/>
      <c r="Y56" s="109"/>
      <c r="Z56" s="108"/>
      <c r="AA56" s="107"/>
      <c r="AB56" s="107"/>
      <c r="AC56" s="108"/>
      <c r="AD56" s="107"/>
      <c r="AE56" s="107"/>
      <c r="AF56" s="108"/>
      <c r="AG56" s="107"/>
      <c r="AH56" s="108"/>
      <c r="AI56" s="107"/>
      <c r="AJ56" s="108"/>
      <c r="AK56" s="107"/>
      <c r="AL56" s="108"/>
      <c r="AM56" s="107"/>
      <c r="AN56" s="108"/>
      <c r="AO56" s="107"/>
      <c r="AP56" s="108"/>
      <c r="AQ56" s="107"/>
      <c r="AR56" s="108"/>
      <c r="AS56" s="107"/>
      <c r="AT56" s="111"/>
      <c r="AU56" s="107"/>
      <c r="AV56" s="108"/>
      <c r="AW56" s="107"/>
      <c r="AX56" s="111"/>
      <c r="AY56" s="111"/>
      <c r="AZ56" s="111"/>
      <c r="BA56" s="111"/>
      <c r="BB56" s="111"/>
      <c r="BC56" s="111"/>
      <c r="BD56" s="111"/>
      <c r="BF56" s="4"/>
      <c r="BG56" s="35"/>
      <c r="BH56" s="11"/>
      <c r="BI56" s="36"/>
      <c r="BJ56" s="36"/>
      <c r="BK56" s="43"/>
      <c r="BL56" s="44"/>
      <c r="BM56" s="44"/>
      <c r="BN56" s="43"/>
      <c r="BO56" s="44"/>
      <c r="BP56" s="44"/>
      <c r="BQ56" s="11"/>
      <c r="BR56" s="36"/>
      <c r="BS56" s="11"/>
      <c r="BT56" s="36"/>
      <c r="BU56" s="11"/>
      <c r="BV56" s="36"/>
      <c r="BW56" s="11"/>
      <c r="BX56" s="36"/>
      <c r="BY56" s="11"/>
      <c r="BZ56" s="36"/>
      <c r="CA56" s="11"/>
      <c r="CB56" s="36"/>
      <c r="CC56" s="11"/>
      <c r="CD56" s="36"/>
      <c r="CE56" s="11"/>
      <c r="CF56" s="36"/>
      <c r="CG56" s="11"/>
      <c r="CH56" s="36"/>
    </row>
    <row r="57" spans="1:86" hidden="1">
      <c r="A57" s="8"/>
      <c r="B57" s="197"/>
      <c r="D57" s="57"/>
      <c r="E57" s="57"/>
      <c r="F57" s="57"/>
      <c r="G57" s="57"/>
      <c r="H57" s="115">
        <f>X57+AA57+AD57+AG57+AI57+AK57+AM57+AO57+AQ57+AS57+AU57+AW57</f>
        <v>0</v>
      </c>
      <c r="I57" s="115" t="s">
        <v>174</v>
      </c>
      <c r="J57" s="205">
        <f>K57+K58+K60+K61+K62</f>
        <v>0</v>
      </c>
      <c r="K57" s="115"/>
      <c r="L57" s="115"/>
      <c r="M57" s="116"/>
      <c r="N57" s="117"/>
      <c r="O57" s="19"/>
      <c r="P57" s="19"/>
      <c r="Q57" s="19"/>
      <c r="R57" s="116"/>
      <c r="S57" s="117"/>
      <c r="T57" s="117"/>
      <c r="U57" s="116"/>
      <c r="V57" s="116"/>
      <c r="W57" s="117"/>
      <c r="X57" s="116"/>
      <c r="Y57" s="19"/>
      <c r="Z57" s="117"/>
      <c r="AA57" s="116"/>
      <c r="AB57" s="116"/>
      <c r="AC57" s="117"/>
      <c r="AD57" s="116"/>
      <c r="AE57" s="116"/>
      <c r="AF57" s="117"/>
      <c r="AG57" s="116"/>
      <c r="AH57" s="117"/>
      <c r="AI57" s="116"/>
      <c r="AJ57" s="117"/>
      <c r="AK57" s="116"/>
      <c r="AL57" s="117"/>
      <c r="AM57" s="116"/>
      <c r="AN57" s="117"/>
      <c r="AO57" s="116"/>
      <c r="AP57" s="117"/>
      <c r="AQ57" s="116"/>
      <c r="AR57" s="117"/>
      <c r="AS57" s="116"/>
      <c r="AT57" s="118"/>
      <c r="AU57" s="116"/>
      <c r="AV57" s="117"/>
      <c r="AW57" s="116"/>
      <c r="AX57" s="111"/>
      <c r="AY57" s="111"/>
      <c r="AZ57" s="111"/>
      <c r="BA57" s="111"/>
      <c r="BB57" s="111"/>
      <c r="BC57" s="111"/>
      <c r="BD57" s="111"/>
      <c r="BF57" s="4"/>
      <c r="BG57" s="35"/>
      <c r="BH57" s="11"/>
      <c r="BI57" s="36"/>
      <c r="BJ57" s="36"/>
      <c r="BK57" s="43"/>
      <c r="BL57" s="44"/>
      <c r="BM57" s="44"/>
      <c r="BN57" s="43"/>
      <c r="BO57" s="44"/>
      <c r="BP57" s="44"/>
      <c r="BQ57" s="11"/>
      <c r="BR57" s="36"/>
      <c r="BS57" s="11"/>
      <c r="BT57" s="36"/>
      <c r="BU57" s="11"/>
      <c r="BV57" s="36"/>
      <c r="BW57" s="11"/>
      <c r="BX57" s="36"/>
      <c r="BY57" s="11"/>
      <c r="BZ57" s="36"/>
      <c r="CA57" s="11"/>
      <c r="CB57" s="36"/>
      <c r="CC57" s="11"/>
      <c r="CD57" s="36"/>
      <c r="CE57" s="11"/>
      <c r="CF57" s="36"/>
      <c r="CG57" s="11"/>
      <c r="CH57" s="36"/>
    </row>
    <row r="58" spans="1:86" hidden="1">
      <c r="A58" s="8"/>
      <c r="B58" s="197"/>
      <c r="D58" s="57"/>
      <c r="E58" s="57"/>
      <c r="F58" s="57"/>
      <c r="G58" s="57"/>
      <c r="H58" s="115">
        <f>X58+AA58+AD58+AG58+AI58+AK58+AM58+AO58+AQ58+AS58+AU58+AW58</f>
        <v>0</v>
      </c>
      <c r="I58" s="115">
        <f>H58-K58</f>
        <v>0</v>
      </c>
      <c r="J58" s="205"/>
      <c r="K58" s="115"/>
      <c r="L58" s="115"/>
      <c r="M58" s="116"/>
      <c r="N58" s="117"/>
      <c r="O58" s="19"/>
      <c r="P58" s="19"/>
      <c r="Q58" s="19"/>
      <c r="R58" s="116"/>
      <c r="S58" s="117"/>
      <c r="T58" s="117"/>
      <c r="U58" s="116"/>
      <c r="V58" s="116"/>
      <c r="W58" s="117"/>
      <c r="X58" s="116"/>
      <c r="Y58" s="19"/>
      <c r="Z58" s="117"/>
      <c r="AA58" s="116"/>
      <c r="AB58" s="116"/>
      <c r="AC58" s="117"/>
      <c r="AD58" s="116"/>
      <c r="AE58" s="116"/>
      <c r="AF58" s="117"/>
      <c r="AG58" s="116"/>
      <c r="AH58" s="117"/>
      <c r="AI58" s="116"/>
      <c r="AJ58" s="117"/>
      <c r="AK58" s="116"/>
      <c r="AL58" s="117"/>
      <c r="AM58" s="116"/>
      <c r="AN58" s="117"/>
      <c r="AO58" s="116"/>
      <c r="AP58" s="117"/>
      <c r="AQ58" s="116"/>
      <c r="AR58" s="117"/>
      <c r="AS58" s="116"/>
      <c r="AT58" s="118"/>
      <c r="AU58" s="116"/>
      <c r="AV58" s="117"/>
      <c r="AW58" s="116"/>
      <c r="AX58" s="111"/>
      <c r="AY58" s="111"/>
      <c r="AZ58" s="111"/>
      <c r="BA58" s="111"/>
      <c r="BB58" s="111"/>
      <c r="BC58" s="111"/>
      <c r="BD58" s="111"/>
      <c r="BF58" s="4"/>
      <c r="BG58" s="35"/>
      <c r="BH58" s="11"/>
      <c r="BI58" s="36"/>
      <c r="BJ58" s="36"/>
      <c r="BK58" s="43"/>
      <c r="BL58" s="44"/>
      <c r="BM58" s="44"/>
      <c r="BN58" s="43"/>
      <c r="BO58" s="44"/>
      <c r="BP58" s="44"/>
      <c r="BQ58" s="11"/>
      <c r="BR58" s="36"/>
      <c r="BS58" s="11"/>
      <c r="BT58" s="36"/>
      <c r="BU58" s="11"/>
      <c r="BV58" s="36"/>
      <c r="BW58" s="11"/>
      <c r="BX58" s="36"/>
      <c r="BY58" s="11"/>
      <c r="BZ58" s="36"/>
      <c r="CA58" s="11"/>
      <c r="CB58" s="36"/>
      <c r="CC58" s="11"/>
      <c r="CD58" s="36"/>
      <c r="CE58" s="11"/>
      <c r="CF58" s="36"/>
      <c r="CG58" s="11"/>
      <c r="CH58" s="36"/>
    </row>
    <row r="59" spans="1:86" hidden="1">
      <c r="A59" s="8"/>
      <c r="B59" s="197"/>
      <c r="D59" s="57"/>
      <c r="E59" s="57"/>
      <c r="F59" s="57"/>
      <c r="G59" s="57"/>
      <c r="H59" s="64">
        <f>X59+AA59+AD59+AG59+AI59+AK59+AM59+AO59+AQ59+AS59+AU59+AW59</f>
        <v>0</v>
      </c>
      <c r="I59" s="64">
        <f>H59-K59</f>
        <v>0</v>
      </c>
      <c r="J59" s="8" t="s">
        <v>175</v>
      </c>
      <c r="K59" s="119"/>
      <c r="L59" s="119"/>
      <c r="M59" s="46"/>
      <c r="N59" s="120"/>
      <c r="O59" s="121"/>
      <c r="P59" s="121"/>
      <c r="Q59" s="121"/>
      <c r="R59" s="46"/>
      <c r="S59" s="120"/>
      <c r="T59" s="120"/>
      <c r="U59" s="46"/>
      <c r="V59" s="46"/>
      <c r="W59" s="120"/>
      <c r="X59" s="46"/>
      <c r="Y59" s="121"/>
      <c r="Z59" s="120"/>
      <c r="AA59" s="46"/>
      <c r="AB59" s="46"/>
      <c r="AC59" s="120"/>
      <c r="AD59" s="46"/>
      <c r="AE59" s="46"/>
      <c r="AF59" s="120"/>
      <c r="AG59" s="46"/>
      <c r="AH59" s="120"/>
      <c r="AI59" s="46"/>
      <c r="AJ59" s="120"/>
      <c r="AK59" s="46"/>
      <c r="AL59" s="120"/>
      <c r="AM59" s="46"/>
      <c r="AN59" s="120"/>
      <c r="AO59" s="46"/>
      <c r="AP59" s="120"/>
      <c r="AQ59" s="46"/>
      <c r="AR59" s="120"/>
      <c r="AS59" s="46"/>
      <c r="AT59" s="122"/>
      <c r="AU59" s="46"/>
      <c r="AV59" s="120"/>
      <c r="AW59" s="46"/>
      <c r="AX59" s="111"/>
      <c r="AY59" s="111"/>
      <c r="AZ59" s="111"/>
      <c r="BA59" s="111"/>
      <c r="BB59" s="111"/>
      <c r="BC59" s="111"/>
      <c r="BD59" s="111"/>
      <c r="BF59" s="4"/>
      <c r="BG59" s="35"/>
      <c r="BH59" s="11"/>
      <c r="BI59" s="36"/>
      <c r="BJ59" s="36"/>
      <c r="BK59" s="43"/>
      <c r="BL59" s="44"/>
      <c r="BM59" s="44"/>
      <c r="BN59" s="43"/>
      <c r="BO59" s="44"/>
      <c r="BP59" s="44"/>
      <c r="BQ59" s="11"/>
      <c r="BR59" s="36"/>
      <c r="BS59" s="11"/>
      <c r="BT59" s="36"/>
      <c r="BU59" s="11"/>
      <c r="BV59" s="36"/>
      <c r="BW59" s="11"/>
      <c r="BX59" s="36"/>
      <c r="BY59" s="11"/>
      <c r="BZ59" s="36"/>
      <c r="CA59" s="11"/>
      <c r="CB59" s="36"/>
      <c r="CC59" s="11"/>
      <c r="CD59" s="36"/>
      <c r="CE59" s="11"/>
      <c r="CF59" s="36"/>
      <c r="CG59" s="11"/>
      <c r="CH59" s="36"/>
    </row>
    <row r="60" spans="1:86" hidden="1">
      <c r="A60" s="8"/>
      <c r="B60" s="197"/>
      <c r="D60" s="57"/>
      <c r="E60" s="57"/>
      <c r="F60" s="57"/>
      <c r="G60" s="57"/>
      <c r="H60" s="64">
        <f t="shared" ref="H60:H62" si="6">X60+AA60+AD60+AG60+AI60+AK60+AM60+AO60+AQ60+AS60+AU60+AW60</f>
        <v>0</v>
      </c>
      <c r="I60" s="57"/>
      <c r="J60" s="8"/>
      <c r="K60" s="115"/>
      <c r="L60" s="115"/>
      <c r="M60" s="116"/>
      <c r="N60" s="117"/>
      <c r="O60" s="19"/>
      <c r="P60" s="19"/>
      <c r="Q60" s="19"/>
      <c r="R60" s="116"/>
      <c r="S60" s="117"/>
      <c r="T60" s="117"/>
      <c r="U60" s="116"/>
      <c r="V60" s="116"/>
      <c r="W60" s="117"/>
      <c r="X60" s="116"/>
      <c r="Y60" s="19"/>
      <c r="Z60" s="117"/>
      <c r="AA60" s="116"/>
      <c r="AB60" s="116"/>
      <c r="AC60" s="117"/>
      <c r="AD60" s="116"/>
      <c r="AE60" s="116"/>
      <c r="AF60" s="117"/>
      <c r="AG60" s="116"/>
      <c r="AH60" s="117"/>
      <c r="AI60" s="116"/>
      <c r="AJ60" s="117"/>
      <c r="AK60" s="116"/>
      <c r="AL60" s="117"/>
      <c r="AM60" s="116"/>
      <c r="AN60" s="117"/>
      <c r="AO60" s="116"/>
      <c r="AP60" s="117"/>
      <c r="AQ60" s="116"/>
      <c r="AR60" s="117"/>
      <c r="AS60" s="116"/>
      <c r="AT60" s="118"/>
      <c r="AU60" s="116"/>
      <c r="AV60" s="117"/>
      <c r="AW60" s="116"/>
      <c r="AX60" s="111"/>
      <c r="AY60" s="111"/>
      <c r="AZ60" s="111"/>
      <c r="BA60" s="111"/>
      <c r="BB60" s="111"/>
      <c r="BC60" s="111"/>
      <c r="BD60" s="111"/>
      <c r="BF60" s="4"/>
      <c r="BG60" s="35"/>
      <c r="BH60" s="11"/>
      <c r="BI60" s="36"/>
      <c r="BJ60" s="36"/>
      <c r="BK60" s="43"/>
      <c r="BL60" s="44"/>
      <c r="BM60" s="44"/>
      <c r="BN60" s="43"/>
      <c r="BO60" s="44"/>
      <c r="BP60" s="44"/>
      <c r="BQ60" s="11"/>
      <c r="BR60" s="36"/>
      <c r="BS60" s="11"/>
      <c r="BT60" s="36"/>
      <c r="BU60" s="11"/>
      <c r="BV60" s="36"/>
      <c r="BW60" s="11"/>
      <c r="BX60" s="36"/>
      <c r="BY60" s="11"/>
      <c r="BZ60" s="36"/>
      <c r="CA60" s="11"/>
      <c r="CB60" s="36"/>
      <c r="CC60" s="11"/>
      <c r="CD60" s="36"/>
      <c r="CE60" s="11"/>
      <c r="CF60" s="36"/>
      <c r="CG60" s="11"/>
      <c r="CH60" s="36"/>
    </row>
    <row r="61" spans="1:86" hidden="1">
      <c r="A61" s="8"/>
      <c r="B61" s="197"/>
      <c r="D61" s="57"/>
      <c r="E61" s="57"/>
      <c r="F61" s="57"/>
      <c r="G61" s="57"/>
      <c r="H61" s="64">
        <f t="shared" si="6"/>
        <v>0</v>
      </c>
      <c r="I61" s="57"/>
      <c r="J61" s="195">
        <f>K58+K60+K61+K62+K57</f>
        <v>0</v>
      </c>
      <c r="K61" s="115"/>
      <c r="L61" s="115"/>
      <c r="M61" s="116"/>
      <c r="N61" s="117"/>
      <c r="O61" s="19"/>
      <c r="P61" s="19"/>
      <c r="Q61" s="19"/>
      <c r="R61" s="116"/>
      <c r="S61" s="117"/>
      <c r="T61" s="117"/>
      <c r="U61" s="116"/>
      <c r="V61" s="116"/>
      <c r="W61" s="117"/>
      <c r="X61" s="116"/>
      <c r="Y61" s="19"/>
      <c r="Z61" s="117"/>
      <c r="AA61" s="116"/>
      <c r="AB61" s="116"/>
      <c r="AC61" s="117"/>
      <c r="AD61" s="116"/>
      <c r="AE61" s="116"/>
      <c r="AF61" s="117"/>
      <c r="AG61" s="116"/>
      <c r="AH61" s="117"/>
      <c r="AI61" s="116"/>
      <c r="AJ61" s="117"/>
      <c r="AK61" s="116"/>
      <c r="AL61" s="117"/>
      <c r="AM61" s="116"/>
      <c r="AN61" s="117"/>
      <c r="AO61" s="116"/>
      <c r="AP61" s="117"/>
      <c r="AQ61" s="116"/>
      <c r="AR61" s="117"/>
      <c r="AS61" s="116"/>
      <c r="AT61" s="118"/>
      <c r="AU61" s="116"/>
      <c r="AV61" s="117"/>
      <c r="AW61" s="116"/>
      <c r="AX61" s="111"/>
      <c r="AY61" s="111"/>
      <c r="AZ61" s="111"/>
      <c r="BA61" s="111"/>
      <c r="BB61" s="111"/>
      <c r="BC61" s="111"/>
      <c r="BD61" s="111"/>
      <c r="BF61" s="4"/>
      <c r="BG61" s="35"/>
      <c r="BH61" s="11"/>
      <c r="BI61" s="36"/>
      <c r="BJ61" s="36"/>
      <c r="BK61" s="43"/>
      <c r="BL61" s="44"/>
      <c r="BM61" s="44"/>
      <c r="BN61" s="43"/>
      <c r="BO61" s="44"/>
      <c r="BP61" s="44"/>
      <c r="BQ61" s="11"/>
      <c r="BR61" s="36"/>
      <c r="BS61" s="11"/>
      <c r="BT61" s="36"/>
      <c r="BU61" s="11"/>
      <c r="BV61" s="36"/>
      <c r="BW61" s="11"/>
      <c r="BX61" s="36"/>
      <c r="BY61" s="11"/>
      <c r="BZ61" s="36"/>
      <c r="CA61" s="11"/>
      <c r="CB61" s="36"/>
      <c r="CC61" s="11"/>
      <c r="CD61" s="36"/>
      <c r="CE61" s="11"/>
      <c r="CF61" s="36"/>
      <c r="CG61" s="11"/>
      <c r="CH61" s="36"/>
    </row>
    <row r="62" spans="1:86" hidden="1">
      <c r="A62" s="8"/>
      <c r="B62" s="197"/>
      <c r="D62" s="57"/>
      <c r="E62" s="57"/>
      <c r="F62" s="57"/>
      <c r="G62" s="57"/>
      <c r="H62" s="64">
        <f t="shared" si="6"/>
        <v>0</v>
      </c>
      <c r="I62" s="57"/>
      <c r="J62" s="8"/>
      <c r="K62" s="115"/>
      <c r="L62" s="123"/>
      <c r="M62" s="116"/>
      <c r="N62" s="117"/>
      <c r="O62" s="19"/>
      <c r="P62" s="19"/>
      <c r="Q62" s="19"/>
      <c r="R62" s="116"/>
      <c r="S62" s="117"/>
      <c r="T62" s="117"/>
      <c r="U62" s="116"/>
      <c r="V62" s="116"/>
      <c r="W62" s="117"/>
      <c r="X62" s="116"/>
      <c r="Y62" s="19"/>
      <c r="Z62" s="117"/>
      <c r="AA62" s="116"/>
      <c r="AB62" s="116"/>
      <c r="AC62" s="117"/>
      <c r="AD62" s="116"/>
      <c r="AE62" s="116"/>
      <c r="AF62" s="117"/>
      <c r="AG62" s="116"/>
      <c r="AH62" s="117"/>
      <c r="AI62" s="116"/>
      <c r="AJ62" s="117"/>
      <c r="AK62" s="116"/>
      <c r="AL62" s="117"/>
      <c r="AM62" s="116"/>
      <c r="AN62" s="117"/>
      <c r="AO62" s="116"/>
      <c r="AP62" s="117"/>
      <c r="AQ62" s="116"/>
      <c r="AR62" s="117"/>
      <c r="AS62" s="116"/>
      <c r="AT62" s="118"/>
      <c r="AU62" s="116"/>
      <c r="AV62" s="117"/>
      <c r="AW62" s="116"/>
      <c r="AX62" s="111"/>
      <c r="AY62" s="111"/>
      <c r="AZ62" s="111"/>
      <c r="BA62" s="111"/>
      <c r="BB62" s="111"/>
      <c r="BC62" s="111"/>
      <c r="BD62" s="111"/>
      <c r="BF62" s="4"/>
      <c r="BG62" s="35"/>
      <c r="BH62" s="11"/>
      <c r="BI62" s="36"/>
      <c r="BJ62" s="36"/>
      <c r="BK62" s="43"/>
      <c r="BL62" s="44"/>
      <c r="BM62" s="44"/>
      <c r="BN62" s="43"/>
      <c r="BO62" s="44"/>
      <c r="BP62" s="44"/>
      <c r="BQ62" s="11"/>
      <c r="BR62" s="36"/>
      <c r="BS62" s="11"/>
      <c r="BT62" s="36"/>
      <c r="BU62" s="11"/>
      <c r="BV62" s="36"/>
      <c r="BW62" s="11"/>
      <c r="BX62" s="36"/>
      <c r="BY62" s="11"/>
      <c r="BZ62" s="36"/>
      <c r="CA62" s="11"/>
      <c r="CB62" s="36"/>
      <c r="CC62" s="11"/>
      <c r="CD62" s="36"/>
      <c r="CE62" s="11"/>
      <c r="CF62" s="36"/>
      <c r="CG62" s="11"/>
      <c r="CH62" s="36"/>
    </row>
    <row r="63" spans="1:86" ht="45.75" hidden="1" customHeight="1">
      <c r="A63" s="8"/>
      <c r="B63" s="197" t="s">
        <v>75</v>
      </c>
      <c r="D63" s="57"/>
      <c r="E63" s="57"/>
      <c r="F63" s="57"/>
      <c r="G63" s="98"/>
      <c r="H63" s="64">
        <f>U52+X52+AA52+AD52+AG52+AI52+AK52+AM52+AO52</f>
        <v>0</v>
      </c>
      <c r="I63" s="64">
        <f>J63-K63</f>
        <v>0</v>
      </c>
      <c r="J63" s="206">
        <v>585962.78</v>
      </c>
      <c r="K63" s="124">
        <f>AA63+AD63+AG63+AI63+AK63+AM63+AO63+AQ63+AS63+AU63+AW63</f>
        <v>585962.78</v>
      </c>
      <c r="L63" s="125" t="s">
        <v>176</v>
      </c>
      <c r="M63" s="126"/>
      <c r="N63" s="127"/>
      <c r="O63" s="128"/>
      <c r="P63" s="128"/>
      <c r="Q63" s="128"/>
      <c r="R63" s="126"/>
      <c r="S63" s="127"/>
      <c r="T63" s="127"/>
      <c r="U63" s="126"/>
      <c r="V63" s="126"/>
      <c r="W63" s="127"/>
      <c r="X63" s="126"/>
      <c r="Y63" s="126"/>
      <c r="Z63" s="127"/>
      <c r="AA63" s="129"/>
      <c r="AB63" s="129"/>
      <c r="AC63" s="127"/>
      <c r="AD63" s="129">
        <f>53269.34-30000+0.12-20000+0.02</f>
        <v>3269.4799999999955</v>
      </c>
      <c r="AE63" s="129"/>
      <c r="AF63" s="127"/>
      <c r="AG63" s="129">
        <f>53269.34+9252.14+2222.22</f>
        <v>64743.7</v>
      </c>
      <c r="AH63" s="127"/>
      <c r="AI63" s="129">
        <f>53269.34+9252.14+2222.22</f>
        <v>64743.7</v>
      </c>
      <c r="AJ63" s="127"/>
      <c r="AK63" s="129">
        <f>53269.34+9252.14+2222.22</f>
        <v>64743.7</v>
      </c>
      <c r="AL63" s="127"/>
      <c r="AM63" s="129">
        <f>53269.34+9252.14+2222.22</f>
        <v>64743.7</v>
      </c>
      <c r="AN63" s="127"/>
      <c r="AO63" s="129">
        <f>53269.34+9252.14+2222.22</f>
        <v>64743.7</v>
      </c>
      <c r="AP63" s="129"/>
      <c r="AQ63" s="129">
        <f>53269.34+9252.14+2222.22</f>
        <v>64743.7</v>
      </c>
      <c r="AR63" s="129"/>
      <c r="AS63" s="129">
        <f>53269.34+9252.14+2222.22</f>
        <v>64743.7</v>
      </c>
      <c r="AT63" s="129"/>
      <c r="AU63" s="129">
        <f>53269.34+9252.14+2222.22</f>
        <v>64743.7</v>
      </c>
      <c r="AV63" s="129"/>
      <c r="AW63" s="129">
        <f>53269.34+9252.14+2222.22</f>
        <v>64743.7</v>
      </c>
      <c r="AX63" s="130"/>
      <c r="AY63" s="130"/>
      <c r="AZ63" s="130"/>
      <c r="BA63" s="130"/>
      <c r="BB63" s="130"/>
      <c r="BC63" s="130"/>
      <c r="BD63" s="130"/>
      <c r="BE63" s="4">
        <f>AM63+AK63+AI63+AG63+AD63+AA63+X63+AO63+AQ63+AS63</f>
        <v>456475.38</v>
      </c>
      <c r="BF63" s="4">
        <f>AO63+AM63+AK63+AI63+AG63+AD63+AA63+X63+U63+R63+AQ63+AS63</f>
        <v>456475.38</v>
      </c>
      <c r="BG63" s="35"/>
      <c r="BH63" s="11"/>
      <c r="BI63" s="36"/>
      <c r="BJ63" s="36"/>
      <c r="BK63" s="11">
        <v>16971</v>
      </c>
      <c r="BL63" s="36"/>
      <c r="BM63" s="36"/>
      <c r="BN63" s="11">
        <v>16971</v>
      </c>
      <c r="BO63" s="36"/>
      <c r="BP63" s="36"/>
      <c r="BQ63" s="11">
        <v>16107</v>
      </c>
      <c r="BR63" s="36"/>
      <c r="BS63" s="11">
        <v>14221</v>
      </c>
      <c r="BT63" s="36"/>
      <c r="BU63" s="11">
        <v>12336</v>
      </c>
      <c r="BV63" s="36"/>
      <c r="BW63" s="11">
        <v>10450</v>
      </c>
      <c r="BX63" s="36"/>
      <c r="BY63" s="11">
        <v>8564</v>
      </c>
      <c r="BZ63" s="36"/>
      <c r="CA63" s="11">
        <v>6679</v>
      </c>
      <c r="CB63" s="36"/>
      <c r="CC63" s="11">
        <v>4793</v>
      </c>
      <c r="CD63" s="36"/>
      <c r="CE63" s="11">
        <v>2907</v>
      </c>
      <c r="CF63" s="36"/>
      <c r="CG63" s="11">
        <v>1021</v>
      </c>
      <c r="CH63" s="36"/>
    </row>
    <row r="64" spans="1:86" hidden="1">
      <c r="A64" s="8"/>
      <c r="B64" s="197" t="s">
        <v>63</v>
      </c>
      <c r="D64" s="57"/>
      <c r="E64" s="57"/>
      <c r="F64" s="57"/>
      <c r="G64" s="57"/>
      <c r="H64" s="99">
        <f>U63+X63+AA63+AD63+AG63+AI63+AK63+AM63+AO63+AQ63+AS63</f>
        <v>456475.38000000006</v>
      </c>
      <c r="I64" s="57"/>
      <c r="J64" s="207">
        <v>2021</v>
      </c>
      <c r="BE64" s="4">
        <f>AM53+AK53+AI53+AG53+AD53+AA53+X53+AO53+AQ53+AS53</f>
        <v>0</v>
      </c>
      <c r="BF64" s="4">
        <f>AO53+AM53+AK53+AI53+AG53+AD53+AA53+X53+U53+R53</f>
        <v>0</v>
      </c>
      <c r="BG64" s="35"/>
      <c r="BH64" s="11"/>
      <c r="BI64" s="36"/>
      <c r="BJ64" s="36"/>
      <c r="BK64" s="11">
        <v>2111</v>
      </c>
      <c r="BL64" s="36"/>
      <c r="BM64" s="36"/>
      <c r="BN64" s="11">
        <v>2111</v>
      </c>
      <c r="BO64" s="36"/>
      <c r="BP64" s="36"/>
      <c r="BQ64" s="11">
        <v>2004</v>
      </c>
      <c r="BR64" s="36"/>
      <c r="BS64" s="11">
        <v>1769</v>
      </c>
      <c r="BT64" s="36"/>
      <c r="BU64" s="11">
        <v>1535</v>
      </c>
      <c r="BV64" s="36"/>
      <c r="BW64" s="11">
        <v>1300</v>
      </c>
      <c r="BX64" s="36"/>
      <c r="BY64" s="11">
        <v>1065</v>
      </c>
      <c r="BZ64" s="36"/>
      <c r="CA64" s="11">
        <v>831</v>
      </c>
      <c r="CB64" s="36"/>
      <c r="CC64" s="11">
        <v>596</v>
      </c>
      <c r="CD64" s="36"/>
      <c r="CE64" s="11">
        <v>362</v>
      </c>
      <c r="CF64" s="36"/>
      <c r="CG64" s="11">
        <v>127</v>
      </c>
      <c r="CH64" s="36"/>
    </row>
    <row r="65" spans="1:88" hidden="1">
      <c r="A65" s="8"/>
      <c r="B65" s="217" t="s">
        <v>64</v>
      </c>
      <c r="D65" s="57"/>
      <c r="E65" s="57"/>
      <c r="F65" s="57"/>
      <c r="G65" s="57"/>
      <c r="H65" s="132">
        <f>X54+AA54+AD54+AG54+AI54+AK54+AM54+AO54+AQ54+AS54</f>
        <v>0</v>
      </c>
      <c r="I65" s="131"/>
      <c r="J65" s="207" t="s">
        <v>177</v>
      </c>
      <c r="BE65" s="4"/>
      <c r="BF65" s="4"/>
      <c r="BG65" s="35"/>
      <c r="BH65" s="11"/>
      <c r="BI65" s="36"/>
      <c r="BJ65" s="36"/>
      <c r="BK65" s="11">
        <v>17197</v>
      </c>
      <c r="BL65" s="36">
        <v>11786</v>
      </c>
      <c r="BM65" s="36">
        <v>5411</v>
      </c>
      <c r="BN65" s="11">
        <v>29970</v>
      </c>
      <c r="BO65" s="36">
        <v>19643</v>
      </c>
      <c r="BP65" s="36">
        <v>10327</v>
      </c>
      <c r="BQ65" s="11">
        <v>9245</v>
      </c>
      <c r="BR65" s="36">
        <v>9245</v>
      </c>
      <c r="BS65" s="11">
        <v>8162</v>
      </c>
      <c r="BT65" s="36">
        <v>8162</v>
      </c>
      <c r="BU65" s="11">
        <v>7080</v>
      </c>
      <c r="BV65" s="36">
        <v>7080</v>
      </c>
      <c r="BW65" s="11">
        <v>5998</v>
      </c>
      <c r="BX65" s="36">
        <v>5998</v>
      </c>
      <c r="BY65" s="11">
        <v>4915</v>
      </c>
      <c r="BZ65" s="36">
        <v>4915</v>
      </c>
      <c r="CA65" s="11">
        <v>3833</v>
      </c>
      <c r="CB65" s="36">
        <v>3833</v>
      </c>
      <c r="CC65" s="11">
        <v>2751</v>
      </c>
      <c r="CD65" s="36">
        <v>2751</v>
      </c>
      <c r="CE65" s="11">
        <v>1669</v>
      </c>
      <c r="CF65" s="36">
        <v>1669</v>
      </c>
      <c r="CG65" s="11">
        <v>586</v>
      </c>
      <c r="CH65" s="36">
        <v>586</v>
      </c>
    </row>
    <row r="66" spans="1:88" hidden="1">
      <c r="A66" s="8"/>
      <c r="B66" s="206"/>
      <c r="D66" s="57"/>
      <c r="E66" s="57"/>
      <c r="F66" s="57"/>
      <c r="G66" s="57"/>
      <c r="H66" s="132"/>
      <c r="I66" s="131"/>
      <c r="J66" s="207"/>
      <c r="K66">
        <f>AA66+AD66+AG66+AI66+AK66+AM66</f>
        <v>0</v>
      </c>
      <c r="L66" t="s">
        <v>178</v>
      </c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BE66" s="4"/>
      <c r="BF66" s="4"/>
      <c r="BG66" s="35"/>
      <c r="BH66" s="11"/>
      <c r="BI66" s="36"/>
      <c r="BJ66" s="36"/>
      <c r="BK66" s="11"/>
      <c r="BL66" s="36"/>
      <c r="BM66" s="36"/>
      <c r="BN66" s="11"/>
      <c r="BO66" s="36"/>
      <c r="BP66" s="36"/>
      <c r="BQ66" s="11"/>
      <c r="BR66" s="36"/>
      <c r="BS66" s="11"/>
      <c r="BT66" s="36"/>
      <c r="BU66" s="11"/>
      <c r="BV66" s="36"/>
      <c r="BW66" s="11"/>
      <c r="BX66" s="36"/>
      <c r="BY66" s="11"/>
      <c r="BZ66" s="36"/>
      <c r="CA66" s="11"/>
      <c r="CB66" s="36"/>
      <c r="CC66" s="11"/>
      <c r="CD66" s="36"/>
      <c r="CE66" s="11"/>
      <c r="CF66" s="36"/>
      <c r="CG66" s="11"/>
      <c r="CH66" s="36"/>
    </row>
    <row r="67" spans="1:88" hidden="1">
      <c r="A67" s="8"/>
      <c r="B67" s="206"/>
      <c r="D67" s="57"/>
      <c r="E67" s="57"/>
      <c r="F67" s="57"/>
      <c r="G67" s="98"/>
      <c r="H67" s="64">
        <f>AD67+AG67+AI67+AK67+AM67+AO67+AQ67+AS67</f>
        <v>363884.66000000003</v>
      </c>
      <c r="I67" s="64">
        <f>J67-K67</f>
        <v>0</v>
      </c>
      <c r="J67" s="207">
        <f>781373.85-315406.93</f>
        <v>465966.92</v>
      </c>
      <c r="K67" s="133">
        <f>AD67+AG67+AI67+AK67+AM67+AO67+AQ67+AS67+AU67+AW67</f>
        <v>465966.92000000004</v>
      </c>
      <c r="L67" s="134" t="s">
        <v>179</v>
      </c>
      <c r="M67" s="126"/>
      <c r="N67" s="127"/>
      <c r="O67" s="128"/>
      <c r="P67" s="128"/>
      <c r="Q67" s="128"/>
      <c r="R67" s="126"/>
      <c r="S67" s="127"/>
      <c r="T67" s="127"/>
      <c r="U67" s="126"/>
      <c r="V67" s="126"/>
      <c r="W67" s="127"/>
      <c r="X67" s="126"/>
      <c r="Y67" s="128"/>
      <c r="Z67" s="127"/>
      <c r="AA67" s="126"/>
      <c r="AB67" s="126"/>
      <c r="AC67" s="127"/>
      <c r="AD67" s="126">
        <f>46596.69-20000+0.04-20000+0.02</f>
        <v>6596.7500000000036</v>
      </c>
      <c r="AE67" s="126"/>
      <c r="AF67" s="127"/>
      <c r="AG67" s="126">
        <f>46596.69+2222.22+2222.22</f>
        <v>51041.130000000005</v>
      </c>
      <c r="AH67" s="127"/>
      <c r="AI67" s="126">
        <f>46596.69+2222.22+2222.22</f>
        <v>51041.130000000005</v>
      </c>
      <c r="AJ67" s="127"/>
      <c r="AK67" s="126">
        <f>46596.69+2222.22+2222.22</f>
        <v>51041.130000000005</v>
      </c>
      <c r="AL67" s="127"/>
      <c r="AM67" s="126">
        <f>46596.69+2222.22+2222.22</f>
        <v>51041.130000000005</v>
      </c>
      <c r="AN67" s="127"/>
      <c r="AO67" s="126">
        <f>46596.69+2222.22+2222.22</f>
        <v>51041.130000000005</v>
      </c>
      <c r="AP67" s="127"/>
      <c r="AQ67" s="126">
        <f>46596.69+2222.22+2222.22</f>
        <v>51041.130000000005</v>
      </c>
      <c r="AR67" s="127"/>
      <c r="AS67" s="126">
        <f>46596.69+2222.22+2222.22</f>
        <v>51041.130000000005</v>
      </c>
      <c r="AT67" s="127"/>
      <c r="AU67" s="126">
        <f>46596.69+2222.22+2222.22</f>
        <v>51041.130000000005</v>
      </c>
      <c r="AV67" s="126"/>
      <c r="AW67" s="126">
        <f>46596.69+2222.22+2222.22</f>
        <v>51041.130000000005</v>
      </c>
      <c r="AX67" s="135"/>
      <c r="AY67" s="135"/>
      <c r="AZ67" s="135"/>
      <c r="BA67" s="135"/>
      <c r="BB67" s="135"/>
      <c r="BC67" s="135"/>
      <c r="BD67" s="135"/>
      <c r="BE67" s="4"/>
      <c r="BF67" s="4">
        <f>AW67+AU67+AS67+AQ67+AO67++AM67+AK67+AI67+AG67+AD67</f>
        <v>465966.92000000004</v>
      </c>
      <c r="BG67" s="35"/>
      <c r="BH67" s="11"/>
      <c r="BI67" s="36"/>
      <c r="BJ67" s="36"/>
      <c r="BK67" s="11"/>
      <c r="BL67" s="36"/>
      <c r="BM67" s="36"/>
      <c r="BN67" s="11">
        <v>4467</v>
      </c>
      <c r="BO67" s="36"/>
      <c r="BP67" s="36"/>
      <c r="BQ67" s="11">
        <v>26800</v>
      </c>
      <c r="BR67" s="36"/>
      <c r="BS67" s="11">
        <v>25572</v>
      </c>
      <c r="BT67" s="36"/>
      <c r="BU67" s="11">
        <v>22892</v>
      </c>
      <c r="BV67" s="36"/>
      <c r="BW67" s="11">
        <v>20212</v>
      </c>
      <c r="BX67" s="36"/>
      <c r="BY67" s="11">
        <v>17532</v>
      </c>
      <c r="BZ67" s="36"/>
      <c r="CA67" s="11">
        <v>14852</v>
      </c>
      <c r="CB67" s="36"/>
      <c r="CC67" s="11">
        <v>12172</v>
      </c>
      <c r="CD67" s="36"/>
      <c r="CE67" s="11">
        <v>9492</v>
      </c>
      <c r="CF67" s="36"/>
      <c r="CG67" s="11">
        <v>6812</v>
      </c>
      <c r="CH67" s="36"/>
      <c r="CI67">
        <v>4132</v>
      </c>
      <c r="CJ67" s="136">
        <v>1452</v>
      </c>
    </row>
    <row r="68" spans="1:88" hidden="1">
      <c r="A68" s="8"/>
      <c r="B68" s="206"/>
      <c r="D68" s="57"/>
      <c r="E68" s="57"/>
      <c r="F68" s="57"/>
      <c r="G68" s="57"/>
      <c r="H68" s="64" t="s">
        <v>180</v>
      </c>
      <c r="I68" s="57"/>
      <c r="J68" s="8">
        <v>706976.12</v>
      </c>
      <c r="BE68" s="4"/>
      <c r="BF68" s="4"/>
      <c r="BG68" s="35"/>
      <c r="BH68" s="11"/>
      <c r="BI68" s="36"/>
      <c r="BJ68" s="36"/>
      <c r="BK68" s="11"/>
      <c r="BL68" s="36"/>
      <c r="BM68" s="36"/>
      <c r="BN68" s="11"/>
      <c r="BO68" s="36"/>
      <c r="BP68" s="36"/>
      <c r="BQ68" s="11"/>
      <c r="BR68" s="36"/>
      <c r="BS68" s="11"/>
      <c r="BT68" s="36"/>
      <c r="BU68" s="11"/>
      <c r="BV68" s="36"/>
      <c r="BW68" s="11"/>
      <c r="BX68" s="36"/>
      <c r="BY68" s="11"/>
      <c r="BZ68" s="36"/>
      <c r="CA68" s="11"/>
      <c r="CB68" s="36"/>
      <c r="CC68" s="11"/>
      <c r="CD68" s="36"/>
      <c r="CE68" s="11"/>
      <c r="CF68" s="36"/>
      <c r="CG68" s="11"/>
      <c r="CH68" s="36"/>
      <c r="CJ68" s="136"/>
    </row>
    <row r="69" spans="1:88" hidden="1">
      <c r="A69" s="8"/>
      <c r="B69" s="206"/>
      <c r="D69" s="57"/>
      <c r="E69" s="57"/>
      <c r="F69" s="57"/>
      <c r="G69" s="98"/>
      <c r="H69" s="64"/>
      <c r="I69" s="57"/>
      <c r="J69" s="208">
        <f>AA69+AD69+AG69+AI69+AK69+AM69+AO69+AQ69+AS69+AU69+AW69</f>
        <v>499999.99999999988</v>
      </c>
      <c r="K69" s="133"/>
      <c r="L69" s="134" t="s">
        <v>181</v>
      </c>
      <c r="M69" s="126"/>
      <c r="N69" s="127"/>
      <c r="O69" s="128"/>
      <c r="P69" s="128"/>
      <c r="Q69" s="128"/>
      <c r="R69" s="126"/>
      <c r="S69" s="127"/>
      <c r="T69" s="127"/>
      <c r="U69" s="126"/>
      <c r="V69" s="126"/>
      <c r="W69" s="127"/>
      <c r="X69" s="126"/>
      <c r="Y69" s="128"/>
      <c r="Z69" s="127"/>
      <c r="AA69" s="126">
        <v>45454.54</v>
      </c>
      <c r="AB69" s="126"/>
      <c r="AC69" s="127">
        <v>45454.54</v>
      </c>
      <c r="AD69" s="126">
        <v>45454.54</v>
      </c>
      <c r="AE69" s="126"/>
      <c r="AF69" s="127">
        <f>AD69</f>
        <v>45454.54</v>
      </c>
      <c r="AG69" s="126">
        <v>45454.54</v>
      </c>
      <c r="AH69" s="127">
        <f>AG69</f>
        <v>45454.54</v>
      </c>
      <c r="AI69" s="126">
        <v>45454.54</v>
      </c>
      <c r="AJ69" s="127">
        <f>AI69</f>
        <v>45454.54</v>
      </c>
      <c r="AK69" s="126">
        <v>45454.54</v>
      </c>
      <c r="AL69" s="127">
        <f>AK69</f>
        <v>45454.54</v>
      </c>
      <c r="AM69" s="126">
        <v>45454.54</v>
      </c>
      <c r="AN69" s="127">
        <f>AM69</f>
        <v>45454.54</v>
      </c>
      <c r="AO69" s="126">
        <v>45454.54</v>
      </c>
      <c r="AP69" s="127">
        <f>AO69</f>
        <v>45454.54</v>
      </c>
      <c r="AQ69" s="126">
        <v>45454.54</v>
      </c>
      <c r="AR69" s="127">
        <f>AQ69</f>
        <v>45454.54</v>
      </c>
      <c r="AS69" s="126">
        <v>45454.54</v>
      </c>
      <c r="AT69" s="127">
        <f>AS69</f>
        <v>45454.54</v>
      </c>
      <c r="AU69" s="126">
        <v>45454.54</v>
      </c>
      <c r="AV69" s="127">
        <f>AU69</f>
        <v>45454.54</v>
      </c>
      <c r="AW69" s="126">
        <v>45454.6</v>
      </c>
      <c r="AX69" s="127">
        <f>AW69</f>
        <v>45454.6</v>
      </c>
      <c r="AY69" s="137"/>
      <c r="AZ69" s="137"/>
      <c r="BA69" s="137"/>
      <c r="BB69" s="137"/>
      <c r="BC69" s="137"/>
      <c r="BD69" s="137"/>
      <c r="BE69" s="4"/>
      <c r="BF69" s="4"/>
      <c r="BG69" s="35"/>
      <c r="BH69" s="11"/>
      <c r="BI69" s="36"/>
      <c r="BJ69" s="36"/>
      <c r="BK69" s="11"/>
      <c r="BL69" s="36"/>
      <c r="BM69" s="36"/>
      <c r="BN69" s="11"/>
      <c r="BO69" s="36"/>
      <c r="BP69" s="36"/>
      <c r="BQ69" s="11"/>
      <c r="BR69" s="36"/>
      <c r="BS69" s="11"/>
      <c r="BT69" s="36"/>
      <c r="BU69" s="11"/>
      <c r="BV69" s="36"/>
      <c r="BW69" s="11"/>
      <c r="BX69" s="36"/>
      <c r="BY69" s="11"/>
      <c r="BZ69" s="36"/>
      <c r="CA69" s="11"/>
      <c r="CB69" s="36"/>
      <c r="CC69" s="11"/>
      <c r="CD69" s="36"/>
      <c r="CE69" s="11"/>
      <c r="CF69" s="36"/>
      <c r="CG69" s="11"/>
      <c r="CH69" s="36"/>
      <c r="CJ69" s="136"/>
    </row>
    <row r="70" spans="1:88" hidden="1">
      <c r="A70" s="8"/>
      <c r="B70" s="206"/>
      <c r="D70" s="57"/>
      <c r="E70" s="57"/>
      <c r="F70" s="57"/>
      <c r="G70" s="57"/>
      <c r="H70" s="64"/>
      <c r="I70" s="57"/>
      <c r="J70" s="195">
        <f>AA70+AD70+AG70+AI70+AK70+AM70+AO70+AQ70+AS70+AU70+AW70</f>
        <v>622480.32999999996</v>
      </c>
      <c r="K70" s="138">
        <f>AA70+AD70+AG70+AI70+AK70+AM70+AO70+AQ70+AS70+AU70+AW70</f>
        <v>622480.32999999996</v>
      </c>
      <c r="L70" s="139" t="s">
        <v>182</v>
      </c>
      <c r="M70" s="45"/>
      <c r="N70" s="101"/>
      <c r="O70" s="26"/>
      <c r="P70" s="26"/>
      <c r="Q70" s="21"/>
      <c r="R70" s="20"/>
      <c r="S70" s="29"/>
      <c r="T70" s="29"/>
      <c r="U70" s="20"/>
      <c r="V70" s="20"/>
      <c r="W70" s="29"/>
      <c r="X70" s="20"/>
      <c r="Y70" s="21"/>
      <c r="Z70" s="29"/>
      <c r="AA70" s="20">
        <v>56589.13</v>
      </c>
      <c r="AB70" s="20"/>
      <c r="AC70" s="29">
        <v>56589.13</v>
      </c>
      <c r="AD70" s="20">
        <v>56589.13</v>
      </c>
      <c r="AE70" s="20"/>
      <c r="AF70" s="29">
        <f>AD70</f>
        <v>56589.13</v>
      </c>
      <c r="AG70" s="20">
        <v>56589.13</v>
      </c>
      <c r="AH70" s="29">
        <f>AG70</f>
        <v>56589.13</v>
      </c>
      <c r="AI70" s="20">
        <v>56589.13</v>
      </c>
      <c r="AJ70" s="29">
        <f>AI70</f>
        <v>56589.13</v>
      </c>
      <c r="AK70" s="20">
        <v>56589.13</v>
      </c>
      <c r="AL70" s="29">
        <f>AK70</f>
        <v>56589.13</v>
      </c>
      <c r="AM70" s="20">
        <v>56589.13</v>
      </c>
      <c r="AN70" s="29">
        <f>AM70</f>
        <v>56589.13</v>
      </c>
      <c r="AO70" s="20">
        <v>56589.13</v>
      </c>
      <c r="AP70" s="29">
        <f>AO70</f>
        <v>56589.13</v>
      </c>
      <c r="AQ70" s="20">
        <v>56589.13</v>
      </c>
      <c r="AR70" s="29">
        <f>AQ70</f>
        <v>56589.13</v>
      </c>
      <c r="AS70" s="20">
        <v>56589.13</v>
      </c>
      <c r="AT70" s="29">
        <f>AS70</f>
        <v>56589.13</v>
      </c>
      <c r="AU70" s="20">
        <v>56589.13</v>
      </c>
      <c r="AV70" s="29">
        <f>AU70</f>
        <v>56589.13</v>
      </c>
      <c r="AW70" s="20">
        <v>56589.03</v>
      </c>
      <c r="AX70" s="30">
        <f>AW70</f>
        <v>56589.03</v>
      </c>
      <c r="AY70" s="30"/>
      <c r="AZ70" s="30"/>
      <c r="BA70" s="30"/>
      <c r="BB70" s="30"/>
      <c r="BC70" s="30"/>
      <c r="BD70" s="30"/>
      <c r="BE70" s="4"/>
      <c r="BF70" s="4"/>
      <c r="BG70" s="35"/>
      <c r="BH70" s="11"/>
      <c r="BI70" s="36"/>
      <c r="BJ70" s="36"/>
      <c r="BK70" s="11"/>
      <c r="BL70" s="36"/>
      <c r="BM70" s="36"/>
      <c r="BN70" s="11"/>
      <c r="BO70" s="36"/>
      <c r="BP70" s="36"/>
      <c r="BQ70" s="11"/>
      <c r="BR70" s="36"/>
      <c r="BS70" s="11"/>
      <c r="BT70" s="36"/>
      <c r="BU70" s="11"/>
      <c r="BV70" s="36"/>
      <c r="BW70" s="11"/>
      <c r="BX70" s="36"/>
      <c r="BY70" s="11"/>
      <c r="BZ70" s="36"/>
      <c r="CA70" s="11"/>
      <c r="CB70" s="36"/>
      <c r="CC70" s="11"/>
      <c r="CD70" s="36"/>
      <c r="CE70" s="11"/>
      <c r="CF70" s="36"/>
      <c r="CG70" s="11"/>
      <c r="CH70" s="36"/>
      <c r="CJ70" s="136"/>
    </row>
    <row r="71" spans="1:88" hidden="1">
      <c r="A71" s="8"/>
      <c r="B71" s="206"/>
      <c r="D71" s="57"/>
      <c r="E71" s="57"/>
      <c r="F71" s="57"/>
      <c r="G71" s="57"/>
      <c r="H71" s="64"/>
      <c r="I71" s="57"/>
      <c r="J71" s="195">
        <f>AA71+AD71+AG71+AI71+AK71+AM71+AO71+AQ71+AS71+AU71+AW71</f>
        <v>0</v>
      </c>
      <c r="BE71" s="4"/>
      <c r="BF71" s="4"/>
      <c r="BG71" s="35"/>
      <c r="BH71" s="11"/>
      <c r="BI71" s="36"/>
      <c r="BJ71" s="36"/>
      <c r="BK71" s="11"/>
      <c r="BL71" s="36"/>
      <c r="BM71" s="36"/>
      <c r="BN71" s="11"/>
      <c r="BO71" s="36"/>
      <c r="BP71" s="36"/>
      <c r="BQ71" s="11"/>
      <c r="BR71" s="36"/>
      <c r="BS71" s="11"/>
      <c r="BT71" s="36"/>
      <c r="BU71" s="11"/>
      <c r="BV71" s="36"/>
      <c r="BW71" s="11"/>
      <c r="BX71" s="36"/>
      <c r="BY71" s="11"/>
      <c r="BZ71" s="36"/>
      <c r="CA71" s="11"/>
      <c r="CB71" s="36"/>
      <c r="CC71" s="11"/>
      <c r="CD71" s="36"/>
      <c r="CE71" s="11"/>
      <c r="CF71" s="36"/>
      <c r="CG71" s="11"/>
      <c r="CH71" s="36"/>
      <c r="CJ71" s="136"/>
    </row>
    <row r="72" spans="1:88" hidden="1">
      <c r="A72" s="8"/>
      <c r="B72" s="206"/>
      <c r="D72" s="57"/>
      <c r="E72" s="57"/>
      <c r="F72" s="57"/>
      <c r="G72" s="57"/>
      <c r="H72" s="64">
        <f>J72-1500000</f>
        <v>-870606.59</v>
      </c>
      <c r="I72" s="57">
        <v>629393.41</v>
      </c>
      <c r="J72" s="195">
        <f>AA72+AD72+AG72+AI72+AK72+AM72+AO72+AQ72+AS72+AU72+AW72</f>
        <v>629393.41</v>
      </c>
      <c r="K72" s="138"/>
      <c r="L72" s="139" t="s">
        <v>183</v>
      </c>
      <c r="M72" s="20"/>
      <c r="N72" s="29"/>
      <c r="O72" s="21"/>
      <c r="P72" s="21"/>
      <c r="Q72" s="21"/>
      <c r="R72" s="20"/>
      <c r="S72" s="29"/>
      <c r="T72" s="29"/>
      <c r="U72" s="20"/>
      <c r="V72" s="20"/>
      <c r="W72" s="29"/>
      <c r="X72" s="20"/>
      <c r="Y72" s="21"/>
      <c r="Z72" s="29"/>
      <c r="AA72" s="20">
        <v>629393.41</v>
      </c>
      <c r="AB72" s="29">
        <f>AA72</f>
        <v>629393.41</v>
      </c>
      <c r="AC72" s="127"/>
      <c r="AD72" s="126"/>
      <c r="AE72" s="126"/>
      <c r="AF72" s="127"/>
      <c r="AG72" s="126"/>
      <c r="AH72" s="127"/>
      <c r="AI72" s="126"/>
      <c r="AJ72" s="127"/>
      <c r="AK72" s="126"/>
      <c r="AL72" s="127"/>
      <c r="AM72" s="126"/>
      <c r="AN72" s="127"/>
      <c r="AO72" s="126"/>
      <c r="AP72" s="127"/>
      <c r="AQ72" s="126"/>
      <c r="AR72" s="127"/>
      <c r="AS72" s="126"/>
      <c r="AT72" s="137"/>
      <c r="AU72" s="126"/>
      <c r="AV72" s="127"/>
      <c r="AW72" s="126"/>
      <c r="AX72" s="30"/>
      <c r="AY72" s="30"/>
      <c r="AZ72" s="30"/>
      <c r="BA72" s="30"/>
      <c r="BB72" s="30"/>
      <c r="BC72" s="30"/>
      <c r="BD72" s="30"/>
      <c r="BE72" s="4"/>
      <c r="BF72" s="4"/>
      <c r="BG72" s="35"/>
      <c r="BH72" s="11"/>
      <c r="BI72" s="36"/>
      <c r="BJ72" s="36"/>
      <c r="BK72" s="11"/>
      <c r="BL72" s="36"/>
      <c r="BM72" s="36"/>
      <c r="BN72" s="11"/>
      <c r="BO72" s="36"/>
      <c r="BP72" s="36"/>
      <c r="BQ72" s="11"/>
      <c r="BR72" s="36"/>
      <c r="BS72" s="11"/>
      <c r="BT72" s="36"/>
      <c r="BU72" s="11"/>
      <c r="BV72" s="36"/>
      <c r="BW72" s="11"/>
      <c r="BX72" s="36"/>
      <c r="BY72" s="11"/>
      <c r="BZ72" s="36"/>
      <c r="CA72" s="11"/>
      <c r="CB72" s="36"/>
      <c r="CC72" s="11"/>
      <c r="CD72" s="36"/>
      <c r="CE72" s="11"/>
      <c r="CF72" s="36"/>
      <c r="CG72" s="11"/>
      <c r="CH72" s="36"/>
      <c r="CJ72" s="136"/>
    </row>
    <row r="73" spans="1:88" hidden="1">
      <c r="A73" s="8"/>
      <c r="B73" s="206"/>
      <c r="D73" s="57"/>
      <c r="E73" s="57"/>
      <c r="F73" s="57"/>
      <c r="G73" s="57"/>
      <c r="H73" s="64"/>
      <c r="I73" s="57"/>
      <c r="J73" s="8"/>
      <c r="K73" s="138"/>
      <c r="L73" s="139"/>
      <c r="M73" s="20"/>
      <c r="N73" s="29"/>
      <c r="O73" s="21"/>
      <c r="P73" s="21"/>
      <c r="Q73" s="21"/>
      <c r="R73" s="20"/>
      <c r="S73" s="29"/>
      <c r="T73" s="29"/>
      <c r="U73" s="20"/>
      <c r="V73" s="20"/>
      <c r="W73" s="29"/>
      <c r="X73" s="20"/>
      <c r="Y73" s="21"/>
      <c r="Z73" s="29"/>
      <c r="AA73" s="20"/>
      <c r="AB73" s="20"/>
      <c r="AC73" s="29"/>
      <c r="AD73" s="20"/>
      <c r="AE73" s="20"/>
      <c r="AF73" s="29"/>
      <c r="AG73" s="20"/>
      <c r="AH73" s="29"/>
      <c r="AI73" s="20"/>
      <c r="AJ73" s="29"/>
      <c r="AK73" s="20"/>
      <c r="AL73" s="29"/>
      <c r="AM73" s="20"/>
      <c r="AN73" s="29"/>
      <c r="AO73" s="20"/>
      <c r="AP73" s="29"/>
      <c r="AQ73" s="20"/>
      <c r="AR73" s="29"/>
      <c r="AS73" s="20"/>
      <c r="AT73" s="30"/>
      <c r="AU73" s="20"/>
      <c r="AV73" s="20"/>
      <c r="AW73" s="20"/>
      <c r="AX73" s="4"/>
      <c r="AY73" s="4"/>
      <c r="AZ73" s="4"/>
      <c r="BA73" s="4"/>
      <c r="BB73" s="4"/>
      <c r="BC73" s="4"/>
      <c r="BD73" s="4"/>
      <c r="BE73" s="4"/>
      <c r="BF73" s="4"/>
      <c r="BG73" s="35"/>
      <c r="BH73" s="11"/>
      <c r="BI73" s="36"/>
      <c r="BJ73" s="36"/>
      <c r="BK73" s="11"/>
      <c r="BL73" s="36"/>
      <c r="BM73" s="36"/>
      <c r="BN73" s="11"/>
      <c r="BO73" s="36"/>
      <c r="BP73" s="36"/>
      <c r="BQ73" s="11"/>
      <c r="BR73" s="36"/>
      <c r="BS73" s="11"/>
      <c r="BT73" s="36"/>
      <c r="BU73" s="11"/>
      <c r="BV73" s="36"/>
      <c r="BW73" s="11"/>
      <c r="BX73" s="36"/>
      <c r="BY73" s="11"/>
      <c r="BZ73" s="36"/>
      <c r="CA73" s="11"/>
      <c r="CB73" s="36"/>
      <c r="CC73" s="11"/>
      <c r="CD73" s="36"/>
      <c r="CE73" s="11"/>
      <c r="CF73" s="36"/>
      <c r="CG73" s="11"/>
      <c r="CH73" s="36"/>
      <c r="CJ73" s="136"/>
    </row>
    <row r="74" spans="1:88" hidden="1">
      <c r="A74" s="8"/>
      <c r="B74" s="206"/>
      <c r="D74" s="57"/>
      <c r="E74" s="57"/>
      <c r="F74" s="57"/>
      <c r="G74" s="98"/>
      <c r="H74" s="64"/>
      <c r="I74" s="57"/>
      <c r="J74" s="207">
        <v>1500000</v>
      </c>
      <c r="K74" s="133"/>
      <c r="L74" s="134" t="s">
        <v>184</v>
      </c>
      <c r="M74" s="126"/>
      <c r="N74" s="127"/>
      <c r="O74" s="128"/>
      <c r="P74" s="128"/>
      <c r="Q74" s="128"/>
      <c r="R74" s="126"/>
      <c r="S74" s="127"/>
      <c r="T74" s="127"/>
      <c r="U74" s="126"/>
      <c r="V74" s="126"/>
      <c r="W74" s="127"/>
      <c r="X74" s="126"/>
      <c r="Y74" s="128"/>
      <c r="Z74" s="127"/>
      <c r="AA74" s="126">
        <v>1500000</v>
      </c>
      <c r="AB74" s="127">
        <v>1500000</v>
      </c>
      <c r="AC74" s="29"/>
      <c r="AD74" s="20"/>
      <c r="AE74" s="20"/>
      <c r="AF74" s="29"/>
      <c r="AG74" s="20"/>
      <c r="AH74" s="29"/>
      <c r="AI74" s="20"/>
      <c r="AJ74" s="29"/>
      <c r="AK74" s="20"/>
      <c r="AL74" s="29"/>
      <c r="AM74" s="20"/>
      <c r="AN74" s="29"/>
      <c r="AO74" s="20"/>
      <c r="AP74" s="29"/>
      <c r="AQ74" s="20"/>
      <c r="AR74" s="29"/>
      <c r="AS74" s="20"/>
      <c r="AT74" s="30"/>
      <c r="AU74" s="20"/>
      <c r="AV74" s="20"/>
      <c r="AW74" s="20"/>
      <c r="AX74" s="4"/>
      <c r="AY74" s="4"/>
      <c r="AZ74" s="4"/>
      <c r="BA74" s="4"/>
      <c r="BB74" s="4"/>
      <c r="BC74" s="4"/>
      <c r="BD74" s="4"/>
      <c r="BE74" s="4"/>
      <c r="BF74" s="4"/>
      <c r="BG74" s="35"/>
      <c r="BH74" s="11"/>
      <c r="BI74" s="36"/>
      <c r="BJ74" s="36"/>
      <c r="BK74" s="11"/>
      <c r="BL74" s="36"/>
      <c r="BM74" s="36"/>
      <c r="BN74" s="11"/>
      <c r="BO74" s="36"/>
      <c r="BP74" s="36"/>
      <c r="BQ74" s="11"/>
      <c r="BR74" s="36"/>
      <c r="BS74" s="11"/>
      <c r="BT74" s="36"/>
      <c r="BU74" s="11"/>
      <c r="BV74" s="36"/>
      <c r="BW74" s="11"/>
      <c r="BX74" s="36"/>
      <c r="BY74" s="11"/>
      <c r="BZ74" s="36"/>
      <c r="CA74" s="11"/>
      <c r="CB74" s="36"/>
      <c r="CC74" s="11"/>
      <c r="CD74" s="36"/>
      <c r="CE74" s="11"/>
      <c r="CF74" s="36"/>
      <c r="CG74" s="11"/>
      <c r="CH74" s="36"/>
      <c r="CJ74" s="136"/>
    </row>
    <row r="75" spans="1:88" hidden="1">
      <c r="A75" s="8"/>
      <c r="B75" s="206"/>
      <c r="D75" s="57"/>
      <c r="E75" s="57"/>
      <c r="F75" s="57"/>
      <c r="G75" s="98"/>
      <c r="H75" s="64">
        <f>I75-J75</f>
        <v>0</v>
      </c>
      <c r="I75" s="57">
        <v>36760.019999999997</v>
      </c>
      <c r="J75" s="208">
        <f>AA75+AD75+AG75+AI75+AK75+AM75+AO75+AQ75+AS75+AU75+AW75</f>
        <v>36760.020000000004</v>
      </c>
      <c r="K75" s="133"/>
      <c r="L75" s="134" t="s">
        <v>185</v>
      </c>
      <c r="M75" s="126"/>
      <c r="N75" s="127"/>
      <c r="O75" s="128"/>
      <c r="P75" s="128"/>
      <c r="Q75" s="128"/>
      <c r="R75" s="126"/>
      <c r="S75" s="127"/>
      <c r="T75" s="127"/>
      <c r="U75" s="126"/>
      <c r="V75" s="126"/>
      <c r="W75" s="127"/>
      <c r="X75" s="126"/>
      <c r="Y75" s="128"/>
      <c r="Z75" s="127"/>
      <c r="AA75" s="126">
        <f>AB75+AC75</f>
        <v>36760.020000000004</v>
      </c>
      <c r="AB75" s="126">
        <v>31246.02</v>
      </c>
      <c r="AC75" s="127">
        <v>5514</v>
      </c>
      <c r="AD75" s="126">
        <f>AE75+AF75</f>
        <v>0</v>
      </c>
      <c r="AE75" s="126"/>
      <c r="AF75" s="127"/>
      <c r="AG75" s="126">
        <f>AH75</f>
        <v>0</v>
      </c>
      <c r="AH75" s="127"/>
      <c r="AI75" s="126">
        <f>AJ75</f>
        <v>0</v>
      </c>
      <c r="AJ75" s="127"/>
      <c r="AK75" s="126">
        <f>AL75</f>
        <v>0</v>
      </c>
      <c r="AL75" s="127"/>
      <c r="AM75" s="126"/>
      <c r="AN75" s="127"/>
      <c r="AO75" s="126"/>
      <c r="AP75" s="127"/>
      <c r="AQ75" s="126"/>
      <c r="AR75" s="127"/>
      <c r="AS75" s="126"/>
      <c r="AT75" s="137"/>
      <c r="AU75" s="126"/>
      <c r="AV75" s="126"/>
      <c r="AW75" s="126"/>
      <c r="AX75" s="4"/>
      <c r="AY75" s="4"/>
      <c r="AZ75" s="4"/>
      <c r="BA75" s="4"/>
      <c r="BB75" s="4"/>
      <c r="BC75" s="4"/>
      <c r="BD75" s="4"/>
      <c r="BE75" s="4"/>
      <c r="BF75" s="4"/>
      <c r="BG75" s="35"/>
      <c r="BH75" s="11"/>
      <c r="BI75" s="36"/>
      <c r="BJ75" s="36"/>
      <c r="BK75" s="11"/>
      <c r="BL75" s="36"/>
      <c r="BM75" s="36"/>
      <c r="BN75" s="11"/>
      <c r="BO75" s="36"/>
      <c r="BP75" s="36"/>
      <c r="BQ75" s="11"/>
      <c r="BR75" s="36"/>
      <c r="BS75" s="11"/>
      <c r="BT75" s="36"/>
      <c r="BU75" s="11"/>
      <c r="BV75" s="36"/>
      <c r="BW75" s="11"/>
      <c r="BX75" s="36"/>
      <c r="BY75" s="11"/>
      <c r="BZ75" s="36"/>
      <c r="CA75" s="11"/>
      <c r="CB75" s="36"/>
      <c r="CC75" s="11"/>
      <c r="CD75" s="36"/>
      <c r="CE75" s="11"/>
      <c r="CF75" s="36"/>
      <c r="CG75" s="11"/>
      <c r="CH75" s="36"/>
      <c r="CJ75" s="136"/>
    </row>
    <row r="76" spans="1:88" hidden="1">
      <c r="A76" s="8"/>
      <c r="B76" s="206"/>
      <c r="D76" s="57"/>
      <c r="E76" s="57"/>
      <c r="F76" s="57"/>
      <c r="G76" s="98"/>
      <c r="H76" s="64">
        <f>I76-J76</f>
        <v>0</v>
      </c>
      <c r="I76" s="57">
        <f>254861+100000+60000+29021.58+20000+50000</f>
        <v>513882.58</v>
      </c>
      <c r="J76" s="208">
        <f>AA76+AD76+AG76+AI76+AK76+AM76+AO76+AQ76+AS76+AU76+AW76</f>
        <v>513882.57999999996</v>
      </c>
      <c r="K76" s="133"/>
      <c r="L76" s="133" t="s">
        <v>186</v>
      </c>
      <c r="M76" s="126"/>
      <c r="N76" s="127"/>
      <c r="O76" s="128"/>
      <c r="P76" s="128"/>
      <c r="Q76" s="128"/>
      <c r="R76" s="126"/>
      <c r="S76" s="127"/>
      <c r="T76" s="127"/>
      <c r="U76" s="126"/>
      <c r="V76" s="126"/>
      <c r="W76" s="127"/>
      <c r="X76" s="126"/>
      <c r="Y76" s="128"/>
      <c r="Z76" s="127"/>
      <c r="AA76" s="126">
        <v>5000</v>
      </c>
      <c r="AB76" s="126"/>
      <c r="AC76" s="127"/>
      <c r="AD76" s="126">
        <v>40986.1</v>
      </c>
      <c r="AE76" s="126"/>
      <c r="AF76" s="127"/>
      <c r="AG76" s="126">
        <f>40986.1+3224.62+7777.77+0.07</f>
        <v>51988.560000000005</v>
      </c>
      <c r="AH76" s="127"/>
      <c r="AI76" s="126">
        <f>40986.1+3224.62+7777.77</f>
        <v>51988.490000000005</v>
      </c>
      <c r="AJ76" s="127"/>
      <c r="AK76" s="126">
        <f>40986.1+3224.62+7777.77</f>
        <v>51988.490000000005</v>
      </c>
      <c r="AL76" s="127"/>
      <c r="AM76" s="126">
        <f>40986.1+3224.62+7777.77</f>
        <v>51988.490000000005</v>
      </c>
      <c r="AN76" s="127"/>
      <c r="AO76" s="126">
        <f>40986.1+3224.62+7777.77</f>
        <v>51988.490000000005</v>
      </c>
      <c r="AP76" s="127"/>
      <c r="AQ76" s="126">
        <f>40986.1+3224.62+7777.77</f>
        <v>51988.490000000005</v>
      </c>
      <c r="AR76" s="127"/>
      <c r="AS76" s="126">
        <f>40986.1+3224.62+7777.77</f>
        <v>51988.490000000005</v>
      </c>
      <c r="AT76" s="137"/>
      <c r="AU76" s="126">
        <f>40986.1+3224.62+7777.77</f>
        <v>51988.490000000005</v>
      </c>
      <c r="AV76" s="126"/>
      <c r="AW76" s="126">
        <f>40986.1+3224.62+7777.77</f>
        <v>51988.490000000005</v>
      </c>
      <c r="AX76" s="135"/>
      <c r="AY76" s="135"/>
      <c r="AZ76" s="135"/>
      <c r="BA76" s="135"/>
      <c r="BB76" s="135"/>
      <c r="BC76" s="135"/>
      <c r="BD76" s="135"/>
      <c r="BE76" s="4"/>
      <c r="BF76" s="4"/>
      <c r="BG76" s="35"/>
      <c r="BH76" s="11"/>
      <c r="BI76" s="36"/>
      <c r="BJ76" s="36"/>
      <c r="BK76" s="11"/>
      <c r="BL76" s="36"/>
      <c r="BM76" s="36"/>
      <c r="BN76" s="11"/>
      <c r="BO76" s="36"/>
      <c r="BP76" s="36"/>
      <c r="BQ76" s="11"/>
      <c r="BR76" s="36"/>
      <c r="BS76" s="11"/>
      <c r="BT76" s="36"/>
      <c r="BU76" s="11"/>
      <c r="BV76" s="36"/>
      <c r="BW76" s="11"/>
      <c r="BX76" s="36"/>
      <c r="BY76" s="11"/>
      <c r="BZ76" s="36"/>
      <c r="CA76" s="11"/>
      <c r="CB76" s="36"/>
      <c r="CC76" s="11"/>
      <c r="CD76" s="36"/>
      <c r="CE76" s="11"/>
      <c r="CF76" s="36"/>
      <c r="CG76" s="11"/>
      <c r="CH76" s="36"/>
      <c r="CJ76" s="136"/>
    </row>
    <row r="77" spans="1:88" hidden="1">
      <c r="A77" s="8"/>
      <c r="B77" s="206"/>
      <c r="D77" s="57"/>
      <c r="E77" s="57"/>
      <c r="F77" s="57"/>
      <c r="G77" s="98"/>
      <c r="H77" s="140">
        <f t="shared" ref="H77:H79" si="7">I77-J77</f>
        <v>0</v>
      </c>
      <c r="I77" s="141">
        <v>750000</v>
      </c>
      <c r="J77" s="208">
        <f>AD77+AG77+AI77+AK77+AM77+AO77+AQ77+AS77+AU77+AW77+AY77+AZ77+BA77+BB77+BC77+BD77</f>
        <v>750000</v>
      </c>
      <c r="K77" s="133"/>
      <c r="L77" s="133" t="s">
        <v>187</v>
      </c>
      <c r="M77" s="126"/>
      <c r="N77" s="127"/>
      <c r="O77" s="128"/>
      <c r="P77" s="128"/>
      <c r="Q77" s="128"/>
      <c r="R77" s="126"/>
      <c r="S77" s="127"/>
      <c r="T77" s="127"/>
      <c r="U77" s="126"/>
      <c r="V77" s="126"/>
      <c r="W77" s="127"/>
      <c r="X77" s="126"/>
      <c r="Y77" s="128"/>
      <c r="Z77" s="127"/>
      <c r="AA77" s="126"/>
      <c r="AB77" s="126"/>
      <c r="AC77" s="127"/>
      <c r="AD77" s="126">
        <v>46875</v>
      </c>
      <c r="AE77" s="126"/>
      <c r="AF77" s="127"/>
      <c r="AG77" s="126">
        <v>46875</v>
      </c>
      <c r="AH77" s="127"/>
      <c r="AI77" s="126">
        <v>46875</v>
      </c>
      <c r="AJ77" s="127"/>
      <c r="AK77" s="126">
        <v>46875</v>
      </c>
      <c r="AL77" s="127"/>
      <c r="AM77" s="126">
        <v>46875</v>
      </c>
      <c r="AN77" s="127"/>
      <c r="AO77" s="126">
        <v>46875</v>
      </c>
      <c r="AP77" s="127"/>
      <c r="AQ77" s="126">
        <v>46875</v>
      </c>
      <c r="AR77" s="127"/>
      <c r="AS77" s="126">
        <v>46875</v>
      </c>
      <c r="AT77" s="137"/>
      <c r="AU77" s="126">
        <v>46875</v>
      </c>
      <c r="AV77" s="126"/>
      <c r="AW77" s="126">
        <v>46875</v>
      </c>
      <c r="AX77" s="135"/>
      <c r="AY77" s="126">
        <v>46875</v>
      </c>
      <c r="AZ77" s="126">
        <v>46875</v>
      </c>
      <c r="BA77" s="126">
        <v>46875</v>
      </c>
      <c r="BB77" s="126">
        <v>46875</v>
      </c>
      <c r="BC77" s="126">
        <v>46875</v>
      </c>
      <c r="BD77" s="126">
        <v>46875</v>
      </c>
      <c r="BE77" s="4"/>
      <c r="BF77" s="4"/>
      <c r="BG77" s="35"/>
      <c r="BH77" s="11"/>
      <c r="BI77" s="36"/>
      <c r="BJ77" s="36"/>
      <c r="BK77" s="11"/>
      <c r="BL77" s="36"/>
      <c r="BM77" s="36"/>
      <c r="BN77" s="11"/>
      <c r="BO77" s="36"/>
      <c r="BP77" s="36"/>
      <c r="BQ77" s="11"/>
      <c r="BR77" s="36"/>
      <c r="BS77" s="11"/>
      <c r="BT77" s="36"/>
      <c r="BU77" s="11"/>
      <c r="BV77" s="36"/>
      <c r="BW77" s="11"/>
      <c r="BX77" s="36"/>
      <c r="BY77" s="11"/>
      <c r="BZ77" s="36"/>
      <c r="CA77" s="11"/>
      <c r="CB77" s="36"/>
      <c r="CC77" s="11"/>
      <c r="CD77" s="36"/>
      <c r="CE77" s="11"/>
      <c r="CF77" s="36"/>
      <c r="CG77" s="11"/>
      <c r="CH77" s="36"/>
      <c r="CJ77" s="136"/>
    </row>
    <row r="78" spans="1:88" hidden="1">
      <c r="A78" s="8"/>
      <c r="B78" s="206"/>
      <c r="D78" s="57"/>
      <c r="E78" s="57"/>
      <c r="F78" s="57"/>
      <c r="G78" s="98"/>
      <c r="H78" s="140">
        <f t="shared" si="7"/>
        <v>0</v>
      </c>
      <c r="I78" s="141">
        <v>100000</v>
      </c>
      <c r="J78" s="208">
        <f t="shared" ref="J78:J79" si="8">AD78+AG78+AI78+AK78+AM78+AO78+AQ78+AS78+AU78+AW78+AY78+AZ78+BA78+BB78+BC78+BD78</f>
        <v>100000</v>
      </c>
      <c r="K78" s="133"/>
      <c r="L78" s="133" t="s">
        <v>188</v>
      </c>
      <c r="M78" s="126"/>
      <c r="N78" s="127"/>
      <c r="O78" s="128"/>
      <c r="P78" s="128"/>
      <c r="Q78" s="128"/>
      <c r="R78" s="126"/>
      <c r="S78" s="127"/>
      <c r="T78" s="127"/>
      <c r="U78" s="126"/>
      <c r="V78" s="126"/>
      <c r="W78" s="127"/>
      <c r="X78" s="126"/>
      <c r="Y78" s="128"/>
      <c r="Z78" s="127"/>
      <c r="AA78" s="126"/>
      <c r="AB78" s="126"/>
      <c r="AC78" s="127"/>
      <c r="AD78" s="126">
        <v>6250</v>
      </c>
      <c r="AE78" s="126"/>
      <c r="AF78" s="127"/>
      <c r="AG78" s="126">
        <v>6250</v>
      </c>
      <c r="AH78" s="127"/>
      <c r="AI78" s="126">
        <v>6250</v>
      </c>
      <c r="AJ78" s="127"/>
      <c r="AK78" s="126">
        <v>6250</v>
      </c>
      <c r="AL78" s="127"/>
      <c r="AM78" s="126">
        <v>6250</v>
      </c>
      <c r="AN78" s="127"/>
      <c r="AO78" s="126">
        <v>6250</v>
      </c>
      <c r="AP78" s="127"/>
      <c r="AQ78" s="126">
        <v>6250</v>
      </c>
      <c r="AR78" s="127"/>
      <c r="AS78" s="126">
        <v>6250</v>
      </c>
      <c r="AT78" s="137"/>
      <c r="AU78" s="126">
        <v>6250</v>
      </c>
      <c r="AV78" s="126"/>
      <c r="AW78" s="126">
        <v>6250</v>
      </c>
      <c r="AX78" s="135"/>
      <c r="AY78" s="126">
        <v>6250</v>
      </c>
      <c r="AZ78" s="126">
        <v>6250</v>
      </c>
      <c r="BA78" s="126">
        <v>6250</v>
      </c>
      <c r="BB78" s="126">
        <v>6250</v>
      </c>
      <c r="BC78" s="126">
        <v>6250</v>
      </c>
      <c r="BD78" s="126">
        <v>6250</v>
      </c>
      <c r="BE78" s="4"/>
      <c r="BF78" s="4"/>
      <c r="BG78" s="35"/>
      <c r="BH78" s="11"/>
      <c r="BI78" s="36"/>
      <c r="BJ78" s="36"/>
      <c r="BK78" s="11"/>
      <c r="BL78" s="36"/>
      <c r="BM78" s="36"/>
      <c r="BN78" s="11"/>
      <c r="BO78" s="36"/>
      <c r="BP78" s="36"/>
      <c r="BQ78" s="11"/>
      <c r="BR78" s="36"/>
      <c r="BS78" s="11"/>
      <c r="BT78" s="36"/>
      <c r="BU78" s="11"/>
      <c r="BV78" s="36"/>
      <c r="BW78" s="11"/>
      <c r="BX78" s="36"/>
      <c r="BY78" s="11"/>
      <c r="BZ78" s="36"/>
      <c r="CA78" s="11"/>
      <c r="CB78" s="36"/>
      <c r="CC78" s="11"/>
      <c r="CD78" s="36"/>
      <c r="CE78" s="11"/>
      <c r="CF78" s="36"/>
      <c r="CG78" s="11"/>
      <c r="CH78" s="36"/>
      <c r="CJ78" s="136"/>
    </row>
    <row r="79" spans="1:88" hidden="1">
      <c r="A79" s="8"/>
      <c r="B79" s="194"/>
      <c r="D79" s="57"/>
      <c r="E79" s="57"/>
      <c r="F79" s="57"/>
      <c r="G79" s="57"/>
      <c r="H79" s="140">
        <f t="shared" si="7"/>
        <v>0</v>
      </c>
      <c r="I79" s="141">
        <v>355329.83</v>
      </c>
      <c r="J79" s="208">
        <f t="shared" si="8"/>
        <v>355329.83</v>
      </c>
      <c r="K79" s="138"/>
      <c r="L79" s="138" t="s">
        <v>189</v>
      </c>
      <c r="M79" s="20"/>
      <c r="N79" s="29"/>
      <c r="O79" s="21"/>
      <c r="P79" s="21"/>
      <c r="Q79" s="21"/>
      <c r="R79" s="20"/>
      <c r="S79" s="29"/>
      <c r="T79" s="29"/>
      <c r="U79" s="20"/>
      <c r="V79" s="20"/>
      <c r="W79" s="29"/>
      <c r="X79" s="20"/>
      <c r="Y79" s="21"/>
      <c r="Z79" s="29"/>
      <c r="AA79" s="20"/>
      <c r="AB79" s="20"/>
      <c r="AC79" s="29"/>
      <c r="AD79" s="20">
        <v>22208</v>
      </c>
      <c r="AE79" s="20"/>
      <c r="AF79" s="29"/>
      <c r="AG79" s="20">
        <v>22208</v>
      </c>
      <c r="AH79" s="29"/>
      <c r="AI79" s="20">
        <v>22208</v>
      </c>
      <c r="AJ79" s="29"/>
      <c r="AK79" s="20">
        <v>22208</v>
      </c>
      <c r="AL79" s="29"/>
      <c r="AM79" s="20">
        <v>22208</v>
      </c>
      <c r="AN79" s="29"/>
      <c r="AO79" s="20">
        <v>22208</v>
      </c>
      <c r="AP79" s="29"/>
      <c r="AQ79" s="20">
        <v>22208</v>
      </c>
      <c r="AR79" s="29"/>
      <c r="AS79" s="20">
        <v>22208</v>
      </c>
      <c r="AT79" s="30"/>
      <c r="AU79" s="20">
        <v>22208</v>
      </c>
      <c r="AV79" s="20"/>
      <c r="AW79" s="20">
        <v>22208</v>
      </c>
      <c r="AX79" s="4"/>
      <c r="AY79" s="20">
        <v>22208</v>
      </c>
      <c r="AZ79" s="20">
        <v>22208</v>
      </c>
      <c r="BA79" s="20">
        <v>22208</v>
      </c>
      <c r="BB79" s="20">
        <v>22208</v>
      </c>
      <c r="BC79" s="20">
        <v>22208</v>
      </c>
      <c r="BD79" s="20">
        <v>22209.83</v>
      </c>
      <c r="BE79" s="4"/>
      <c r="BF79" s="4"/>
      <c r="BG79" s="4"/>
      <c r="BH79" s="11"/>
      <c r="BI79" s="37"/>
      <c r="BJ79" s="37"/>
      <c r="BK79" s="11"/>
      <c r="BL79" s="37"/>
      <c r="BM79" s="37"/>
      <c r="BN79" s="11"/>
      <c r="BO79" s="37"/>
      <c r="BP79" s="37"/>
      <c r="BQ79" s="11"/>
      <c r="BR79" s="37"/>
      <c r="BS79" s="11"/>
      <c r="BT79" s="37"/>
      <c r="BU79" s="11"/>
      <c r="BV79" s="37"/>
      <c r="BW79" s="11"/>
      <c r="BX79" s="37"/>
      <c r="BY79" s="11"/>
      <c r="BZ79" s="37"/>
      <c r="CA79" s="11"/>
      <c r="CB79" s="37"/>
      <c r="CC79" s="11"/>
      <c r="CD79" s="37"/>
      <c r="CE79" s="11"/>
      <c r="CF79" s="37"/>
      <c r="CG79" s="11"/>
      <c r="CH79" s="37"/>
      <c r="CJ79" s="142"/>
    </row>
    <row r="80" spans="1:88" hidden="1">
      <c r="A80" s="8"/>
      <c r="B80" s="211" t="s">
        <v>190</v>
      </c>
      <c r="C80" s="143"/>
      <c r="D80" s="143"/>
      <c r="E80" s="143"/>
      <c r="F80" s="143"/>
      <c r="G80" s="143"/>
      <c r="H80" s="144">
        <f>U53+X53+AA53+AD53+AG53+AI53+AK53+AM53+AO53+AQ53+AS53</f>
        <v>0</v>
      </c>
      <c r="J80" s="195" t="e">
        <f>R80+U80+X80+AA80+AD80+AG80+AI80+AK80+AM80+AO80+AQ80+AS80+AU80+AW80</f>
        <v>#REF!</v>
      </c>
      <c r="K80" s="145"/>
      <c r="L80" s="146" t="s">
        <v>191</v>
      </c>
      <c r="M80" s="51" t="e">
        <f t="shared" ref="M80:T80" si="9">M37</f>
        <v>#REF!</v>
      </c>
      <c r="N80" s="53" t="e">
        <f t="shared" si="9"/>
        <v>#REF!</v>
      </c>
      <c r="O80" s="53" t="e">
        <f t="shared" si="9"/>
        <v>#REF!</v>
      </c>
      <c r="P80" s="53"/>
      <c r="Q80" s="53"/>
      <c r="R80" s="51" t="e">
        <f t="shared" si="9"/>
        <v>#REF!</v>
      </c>
      <c r="S80" s="53" t="e">
        <f t="shared" si="9"/>
        <v>#REF!</v>
      </c>
      <c r="T80" s="53" t="e">
        <f t="shared" si="9"/>
        <v>#REF!</v>
      </c>
      <c r="U80" s="51" t="e">
        <f t="shared" ref="U80:AT80" si="10">U37+U63+U67+U69+U70+U72+U74+U75+U76</f>
        <v>#REF!</v>
      </c>
      <c r="V80" s="147" t="e">
        <f t="shared" si="10"/>
        <v>#REF!</v>
      </c>
      <c r="W80" s="147" t="e">
        <f t="shared" si="10"/>
        <v>#REF!</v>
      </c>
      <c r="X80" s="51" t="e">
        <f t="shared" si="10"/>
        <v>#REF!</v>
      </c>
      <c r="Y80" s="147" t="e">
        <f t="shared" si="10"/>
        <v>#REF!</v>
      </c>
      <c r="Z80" s="147" t="e">
        <f t="shared" si="10"/>
        <v>#REF!</v>
      </c>
      <c r="AA80" s="51" t="e">
        <f t="shared" si="10"/>
        <v>#REF!</v>
      </c>
      <c r="AB80" s="147">
        <f t="shared" si="10"/>
        <v>2160639.4300000002</v>
      </c>
      <c r="AC80" s="147" t="e">
        <f t="shared" si="10"/>
        <v>#REF!</v>
      </c>
      <c r="AD80" s="51" t="e">
        <f>AD37+AD63+AD67+AD69+AD70+AD72+AD74+AD75+AD76+AD77+AD78+AD79</f>
        <v>#REF!</v>
      </c>
      <c r="AE80" s="147">
        <f t="shared" si="10"/>
        <v>0</v>
      </c>
      <c r="AF80" s="147" t="e">
        <f t="shared" si="10"/>
        <v>#REF!</v>
      </c>
      <c r="AG80" s="51" t="e">
        <f>AG37+AG63+AG67+AG69+AG70+AG72+AG74+AG75+AG76+AG77+AG78+AG79</f>
        <v>#REF!</v>
      </c>
      <c r="AH80" s="147" t="e">
        <f t="shared" si="10"/>
        <v>#REF!</v>
      </c>
      <c r="AI80" s="51" t="e">
        <f>AI37+AI63+AI67+AI69+AI70+AI72+AI74+AI75+AI76+AI77+AI78+AI79</f>
        <v>#REF!</v>
      </c>
      <c r="AJ80" s="147" t="e">
        <f t="shared" si="10"/>
        <v>#REF!</v>
      </c>
      <c r="AK80" s="51" t="e">
        <f>AK37+AK63+AK67+AK69+AK70+AK72+AK74+AK75+AK76+AK77+AK78+AK79</f>
        <v>#REF!</v>
      </c>
      <c r="AL80" s="147" t="e">
        <f t="shared" si="10"/>
        <v>#REF!</v>
      </c>
      <c r="AM80" s="51" t="e">
        <f>AM37+AM63+AM67+AM69+AM70+AM72+AM74+AM75+AM76+AM77+AM78+AM79</f>
        <v>#REF!</v>
      </c>
      <c r="AN80" s="147" t="e">
        <f t="shared" si="10"/>
        <v>#REF!</v>
      </c>
      <c r="AO80" s="51" t="e">
        <f>AO37+AO63+AO67+AO69+AO70+AO72+AO74+AO75+AO76+AO77+AO78+AO79</f>
        <v>#REF!</v>
      </c>
      <c r="AP80" s="147" t="e">
        <f t="shared" si="10"/>
        <v>#REF!</v>
      </c>
      <c r="AQ80" s="51" t="e">
        <f>AQ37+AQ63+AQ67+AQ69+AQ70+AQ72+AQ74+AQ75+AQ76+AQ77+AQ78+AQ79</f>
        <v>#REF!</v>
      </c>
      <c r="AR80" s="147" t="e">
        <f t="shared" si="10"/>
        <v>#REF!</v>
      </c>
      <c r="AS80" s="51" t="e">
        <f>AS37+AS63+AS67+AS69+AS70+AS72+AS74+AS75+AS76+AS77+AS78+AS79</f>
        <v>#REF!</v>
      </c>
      <c r="AT80" s="147" t="e">
        <f t="shared" si="10"/>
        <v>#REF!</v>
      </c>
      <c r="AU80" s="51" t="e">
        <f>AU37+AU63+AU67+AU69+AU70+AU72+AU74+AU75+AU76+AU77+AU78+AU79</f>
        <v>#REF!</v>
      </c>
      <c r="AV80" s="147">
        <f t="shared" ref="AV80:AX80" si="11">AV37+AV63+AV67+AV69+AV70+AV72+AV74+AV75+AV76</f>
        <v>102043.67</v>
      </c>
      <c r="AW80" s="51" t="e">
        <f>AW37+AW63+AW67+AW69+AW70+AW72+AW74+AW75+AW76+AW77+AW78+AW79</f>
        <v>#REF!</v>
      </c>
      <c r="AX80" s="147">
        <f t="shared" si="11"/>
        <v>102043.63</v>
      </c>
      <c r="AY80" s="51">
        <f>AY77+AY78+AY79</f>
        <v>75333</v>
      </c>
      <c r="AZ80" s="51">
        <f t="shared" ref="AZ80:BD80" si="12">AZ77+AZ78+AZ79</f>
        <v>75333</v>
      </c>
      <c r="BA80" s="51">
        <f t="shared" si="12"/>
        <v>75333</v>
      </c>
      <c r="BB80" s="51">
        <f t="shared" si="12"/>
        <v>75333</v>
      </c>
      <c r="BC80" s="51">
        <f t="shared" si="12"/>
        <v>75333</v>
      </c>
      <c r="BD80" s="51">
        <f t="shared" si="12"/>
        <v>75334.83</v>
      </c>
      <c r="BG80" s="3"/>
      <c r="BH80" s="51">
        <f>SUM(BH20:BH65)</f>
        <v>297134.92000000004</v>
      </c>
      <c r="BI80" s="148">
        <f>SUM(BI20:BI65)</f>
        <v>17055</v>
      </c>
      <c r="BJ80" s="148">
        <f>SUM(BJ20:BJ65)</f>
        <v>35554</v>
      </c>
      <c r="BK80" s="51" t="e">
        <f>BK67+BK65+BK64+BK63+BK52+BK51+BK50+BK49+BK48+BK47+BK46+BK45+BK31+BK30+BK29+BK28+#REF!+#REF!+BK27+BK26+#REF!+#REF!+BK25+BK24+BK23+BK22+BK21+BK20+#REF!+#REF!+#REF!+#REF!</f>
        <v>#REF!</v>
      </c>
      <c r="BL80" s="149">
        <f>BL65+BL47+BL45</f>
        <v>37808.120000000003</v>
      </c>
      <c r="BM80" s="149" t="e">
        <f>BM65+BM46+BM45+#REF!+BM20+#REF!+#REF!+#REF!</f>
        <v>#REF!</v>
      </c>
      <c r="BN80" s="51">
        <f>SUM(BN20:BN67)</f>
        <v>254057.84</v>
      </c>
      <c r="BO80" s="148">
        <f>SUM(BO20:BO65)</f>
        <v>19643</v>
      </c>
      <c r="BP80" s="148">
        <f>SUM(BP20:BP65)</f>
        <v>31544</v>
      </c>
      <c r="BQ80" s="51">
        <f>SUM(BQ20:BQ67)</f>
        <v>223071.01</v>
      </c>
      <c r="BR80" s="148">
        <f>SUM(BR20:BR65)</f>
        <v>26809</v>
      </c>
      <c r="BS80" s="51">
        <f>SUM(BS20:BS67)</f>
        <v>181127.43</v>
      </c>
      <c r="BT80" s="148">
        <f>SUM(BT20:BT65)</f>
        <v>22073</v>
      </c>
      <c r="BU80" s="51">
        <f>SUM(BU20:BU67)</f>
        <v>144796.59</v>
      </c>
      <c r="BV80" s="148">
        <f>SUM(BV20:BV65)</f>
        <v>17339</v>
      </c>
      <c r="BW80" s="51">
        <f>SUM(BW20:BW67)</f>
        <v>109308.27</v>
      </c>
      <c r="BX80" s="148">
        <f>SUM(BX20:BX65)</f>
        <v>12604</v>
      </c>
      <c r="BY80" s="51">
        <f>SUM(BY20:BY67)</f>
        <v>83293.320000000007</v>
      </c>
      <c r="BZ80" s="148">
        <f>SUM(BZ20:BZ65)</f>
        <v>7869</v>
      </c>
      <c r="CA80" s="51">
        <f>SUM(CA20:CA67)</f>
        <v>58637.48</v>
      </c>
      <c r="CB80" s="148">
        <f>SUM(CB20:CB65)</f>
        <v>4361</v>
      </c>
      <c r="CC80" s="51">
        <f>SUM(CC20:CC67)</f>
        <v>37463.96</v>
      </c>
      <c r="CD80" s="148">
        <f>SUM(CD20:CD65)</f>
        <v>2751</v>
      </c>
      <c r="CE80" s="51">
        <f>SUM(CE20:CE67)</f>
        <v>22204.39</v>
      </c>
      <c r="CF80" s="148">
        <f>SUM(CF20:CF65)</f>
        <v>1669</v>
      </c>
      <c r="CG80" s="51">
        <f>SUM(CG20:CG67)</f>
        <v>11277.720000000001</v>
      </c>
      <c r="CH80" s="148">
        <f>SUM(CH20:CH65)</f>
        <v>586</v>
      </c>
      <c r="CI80" s="51">
        <f>SUM(CI20:CI67)</f>
        <v>4132</v>
      </c>
      <c r="CJ80" s="51">
        <f>SUM(CJ20:CJ67)</f>
        <v>1452</v>
      </c>
    </row>
    <row r="81" spans="1:86" hidden="1">
      <c r="A81" s="8"/>
      <c r="B81" s="8"/>
      <c r="G81" s="4">
        <f>H64+H80</f>
        <v>456475.38000000006</v>
      </c>
      <c r="H81" s="4"/>
      <c r="J81" s="8"/>
      <c r="M81" s="150" t="e">
        <f>M37+M40</f>
        <v>#REF!</v>
      </c>
      <c r="N81" s="150" t="e">
        <f>N37+N40</f>
        <v>#REF!</v>
      </c>
      <c r="O81" s="150" t="e">
        <f>O37+O40</f>
        <v>#REF!</v>
      </c>
      <c r="P81" s="150"/>
      <c r="Q81" s="150"/>
      <c r="R81" s="4" t="e">
        <f>R37+R40+R41+R42+R43+R44+R46+R47+R52+R63+R53</f>
        <v>#REF!</v>
      </c>
      <c r="S81" s="150" t="e">
        <f>S37+S40+S41+S42+S43+S44+S46+S47+S52+S63+S53</f>
        <v>#REF!</v>
      </c>
      <c r="T81" s="4" t="e">
        <f>T37+T40+T41+T42+T43+T44+T46+T47+T52+T63+T53</f>
        <v>#REF!</v>
      </c>
      <c r="U81" s="4" t="e">
        <f>U37+U40+U41+U42+U43+U44+U46+U47+U52+U63+U53</f>
        <v>#REF!</v>
      </c>
      <c r="V81" s="4"/>
      <c r="W81" s="4" t="e">
        <f>W37+W40+W41+W42+W43+W44+W46+W47+W52+W63+W53</f>
        <v>#REF!</v>
      </c>
      <c r="X81" s="4" t="e">
        <f>X37+X40+X41+X42+X43+X44+X46+X47+X52+X63+X53</f>
        <v>#REF!</v>
      </c>
      <c r="Y81" s="4"/>
      <c r="Z81" s="150" t="e">
        <f>Z37+Z40+Z41+Z42+Z43+Z44+Z46+Z47+Z52+Z63+Z53</f>
        <v>#REF!</v>
      </c>
      <c r="AA81" s="4" t="e">
        <f>AA37+AA40+AA41+AA42+AA43+AA44+AA46+AA47+AA52+AA63+AA53</f>
        <v>#REF!</v>
      </c>
      <c r="AB81" s="4"/>
      <c r="AC81" s="4" t="e">
        <f t="shared" ref="AC81:AO81" si="13">AC37+AC40+AC41+AC42+AC43+AC44+AC46+AC47+AC52+AC63+AC53</f>
        <v>#REF!</v>
      </c>
      <c r="AD81" s="4" t="e">
        <f t="shared" si="13"/>
        <v>#REF!</v>
      </c>
      <c r="AE81" s="4"/>
      <c r="AF81" s="4" t="e">
        <f t="shared" si="13"/>
        <v>#REF!</v>
      </c>
      <c r="AG81" s="4" t="e">
        <f t="shared" si="13"/>
        <v>#REF!</v>
      </c>
      <c r="AH81" s="4" t="e">
        <f t="shared" si="13"/>
        <v>#REF!</v>
      </c>
      <c r="AI81" s="4" t="e">
        <f t="shared" si="13"/>
        <v>#REF!</v>
      </c>
      <c r="AJ81" s="4" t="e">
        <f t="shared" si="13"/>
        <v>#REF!</v>
      </c>
      <c r="AK81" s="4" t="e">
        <f t="shared" si="13"/>
        <v>#REF!</v>
      </c>
      <c r="AL81" s="4" t="e">
        <f t="shared" si="13"/>
        <v>#REF!</v>
      </c>
      <c r="AM81" s="4" t="e">
        <f t="shared" si="13"/>
        <v>#REF!</v>
      </c>
      <c r="AN81" s="4" t="e">
        <f t="shared" si="13"/>
        <v>#REF!</v>
      </c>
      <c r="AO81" s="4" t="e">
        <f t="shared" si="13"/>
        <v>#REF!</v>
      </c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CF81" s="151"/>
      <c r="CH81" s="151"/>
    </row>
    <row r="82" spans="1:86" hidden="1">
      <c r="A82" s="8"/>
      <c r="B82" s="8"/>
      <c r="H82" s="4"/>
      <c r="J82" s="8"/>
      <c r="M82" s="150" t="e">
        <f>M80-M81</f>
        <v>#REF!</v>
      </c>
      <c r="N82" s="150" t="e">
        <f t="shared" ref="N82:AO82" si="14">N80-N81</f>
        <v>#REF!</v>
      </c>
      <c r="O82" s="150" t="e">
        <f t="shared" si="14"/>
        <v>#REF!</v>
      </c>
      <c r="P82" s="150"/>
      <c r="Q82" s="150"/>
      <c r="R82" s="150" t="e">
        <f t="shared" si="14"/>
        <v>#REF!</v>
      </c>
      <c r="S82" s="150" t="e">
        <f t="shared" si="14"/>
        <v>#REF!</v>
      </c>
      <c r="T82" s="150" t="e">
        <f t="shared" si="14"/>
        <v>#REF!</v>
      </c>
      <c r="U82" s="150" t="e">
        <f t="shared" si="14"/>
        <v>#REF!</v>
      </c>
      <c r="V82" s="150"/>
      <c r="W82" s="150" t="e">
        <f t="shared" si="14"/>
        <v>#REF!</v>
      </c>
      <c r="X82" s="150" t="e">
        <f t="shared" si="14"/>
        <v>#REF!</v>
      </c>
      <c r="Y82" s="150"/>
      <c r="Z82" s="150" t="e">
        <f t="shared" si="14"/>
        <v>#REF!</v>
      </c>
      <c r="AA82" s="150" t="e">
        <f t="shared" si="14"/>
        <v>#REF!</v>
      </c>
      <c r="AB82" s="150"/>
      <c r="AC82" s="150" t="e">
        <f t="shared" si="14"/>
        <v>#REF!</v>
      </c>
      <c r="AD82" s="150" t="e">
        <f t="shared" si="14"/>
        <v>#REF!</v>
      </c>
      <c r="AE82" s="150"/>
      <c r="AF82" s="150" t="e">
        <f t="shared" si="14"/>
        <v>#REF!</v>
      </c>
      <c r="AG82" s="150" t="e">
        <f t="shared" si="14"/>
        <v>#REF!</v>
      </c>
      <c r="AH82" s="150" t="e">
        <f t="shared" si="14"/>
        <v>#REF!</v>
      </c>
      <c r="AI82" s="150" t="e">
        <f t="shared" si="14"/>
        <v>#REF!</v>
      </c>
      <c r="AJ82" s="150" t="e">
        <f t="shared" si="14"/>
        <v>#REF!</v>
      </c>
      <c r="AK82" s="150" t="e">
        <f t="shared" si="14"/>
        <v>#REF!</v>
      </c>
      <c r="AL82" s="150" t="e">
        <f t="shared" si="14"/>
        <v>#REF!</v>
      </c>
      <c r="AM82" s="150" t="e">
        <f t="shared" si="14"/>
        <v>#REF!</v>
      </c>
      <c r="AN82" s="150" t="e">
        <f t="shared" si="14"/>
        <v>#REF!</v>
      </c>
      <c r="AO82" s="150" t="e">
        <f t="shared" si="14"/>
        <v>#REF!</v>
      </c>
      <c r="AP82" s="150"/>
      <c r="AQ82" s="150"/>
      <c r="AR82" s="150"/>
      <c r="AS82" s="150"/>
      <c r="AT82" s="150"/>
      <c r="AU82" s="150"/>
      <c r="AV82" s="150"/>
      <c r="AW82" s="150"/>
      <c r="AX82" s="150"/>
      <c r="AY82" s="150"/>
      <c r="AZ82" s="150"/>
      <c r="BA82" s="150"/>
      <c r="BB82" s="150"/>
      <c r="BC82" s="150"/>
      <c r="BD82" s="150"/>
      <c r="CF82" s="151"/>
      <c r="CH82" s="151"/>
    </row>
    <row r="83" spans="1:86" hidden="1">
      <c r="A83" s="8"/>
      <c r="B83" s="8"/>
      <c r="H83" s="4"/>
      <c r="J83" s="8"/>
      <c r="K83" s="152">
        <f>K45+K46+K47+K48+K49+K50</f>
        <v>0</v>
      </c>
      <c r="M83" s="55">
        <f>M39-M40</f>
        <v>58548.800000000003</v>
      </c>
      <c r="N83" s="55">
        <f>N39-N40</f>
        <v>58548.800000000003</v>
      </c>
      <c r="O83" s="55">
        <f>O39-O40</f>
        <v>0</v>
      </c>
      <c r="P83" s="55"/>
      <c r="Q83" s="55"/>
      <c r="R83" s="55">
        <f>R39-R40-R41-R42-R43-R44-R46-R47</f>
        <v>2221112.0899999994</v>
      </c>
      <c r="S83" s="55">
        <f t="shared" ref="S83:AO83" si="15">S39-S40-S41-S42-S43-S44-S46-S47</f>
        <v>2197129.1799999997</v>
      </c>
      <c r="T83" s="55">
        <f t="shared" si="15"/>
        <v>23982.910000000003</v>
      </c>
      <c r="U83" s="55">
        <f t="shared" si="15"/>
        <v>349371.06</v>
      </c>
      <c r="V83" s="55"/>
      <c r="W83" s="55">
        <f t="shared" si="15"/>
        <v>91679.310000000012</v>
      </c>
      <c r="X83" s="55">
        <f t="shared" si="15"/>
        <v>349371</v>
      </c>
      <c r="Y83" s="55"/>
      <c r="Z83" s="55">
        <f t="shared" si="15"/>
        <v>91679.319999999992</v>
      </c>
      <c r="AA83" s="55">
        <f t="shared" si="15"/>
        <v>209689.59000000005</v>
      </c>
      <c r="AB83" s="55"/>
      <c r="AC83" s="55">
        <f t="shared" si="15"/>
        <v>91679.310000000012</v>
      </c>
      <c r="AD83" s="55">
        <f t="shared" si="15"/>
        <v>185706.69000000003</v>
      </c>
      <c r="AE83" s="55"/>
      <c r="AF83" s="55">
        <f t="shared" si="15"/>
        <v>67696.41</v>
      </c>
      <c r="AG83" s="55">
        <f t="shared" si="15"/>
        <v>185706.69000000003</v>
      </c>
      <c r="AH83" s="55">
        <f t="shared" si="15"/>
        <v>67696.41</v>
      </c>
      <c r="AI83" s="55">
        <f t="shared" si="15"/>
        <v>185706.69000000003</v>
      </c>
      <c r="AJ83" s="55">
        <f t="shared" si="15"/>
        <v>67696.41</v>
      </c>
      <c r="AK83" s="55">
        <f t="shared" si="15"/>
        <v>185706.67</v>
      </c>
      <c r="AL83" s="55">
        <f t="shared" si="15"/>
        <v>67696.39</v>
      </c>
      <c r="AM83" s="55">
        <f t="shared" si="15"/>
        <v>185706.63</v>
      </c>
      <c r="AN83" s="55">
        <f t="shared" si="15"/>
        <v>67696.33</v>
      </c>
      <c r="AO83" s="55">
        <f t="shared" si="15"/>
        <v>152930.56</v>
      </c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>
        <v>1067014.29</v>
      </c>
      <c r="BH83" s="11" t="e">
        <f>BH36+BH35+BH34+BH33+BH32+BH31+BH30+BH29+BH28+#REF!+#REF!+BH27+BH26+#REF!+#REF!+BH25+BH24+BH23+BH22+BH21+BH20+#REF!</f>
        <v>#REF!</v>
      </c>
      <c r="BI83" s="37"/>
      <c r="BJ83" s="37"/>
      <c r="BK83" s="11" t="e">
        <f>BK36+BK35+BK34+BK33+BK32+BK31+BK30+BK29+BK28+#REF!+#REF!+BK27+BK26+#REF!+#REF!+BK25+BK24+BK23+BK22+BK21+BK20+#REF!</f>
        <v>#REF!</v>
      </c>
      <c r="BL83" s="11"/>
      <c r="BM83" s="37"/>
      <c r="BN83" s="11" t="e">
        <f>BN36+BN35+BN34+BN33+BN32+BN31+BN30+BN29+BN28+#REF!+#REF!+BN27+BN26+#REF!+#REF!+BN25+BN24+BN23+BN22+BN21+BN20+#REF!</f>
        <v>#REF!</v>
      </c>
      <c r="BO83" s="11"/>
      <c r="BP83" s="11"/>
      <c r="BQ83" s="11" t="e">
        <f>BQ36+BQ35+BQ34+BQ33+BQ32+BQ31+BQ30+BQ29+BQ28+#REF!+#REF!+BQ27+BQ26+#REF!+#REF!+BQ25+BQ24+BQ23+BQ22+BQ21+BQ20+#REF!</f>
        <v>#REF!</v>
      </c>
      <c r="BR83" s="37"/>
      <c r="BS83" s="11" t="e">
        <f>BS36+BS35+BS34+BS33+BS32+BS31+BS30+BS29+BS28+#REF!+#REF!+BS27+BS26+#REF!+#REF!+BS25+BS24+BS23+BS22+BS21+BS20+#REF!</f>
        <v>#REF!</v>
      </c>
      <c r="BT83" s="37"/>
      <c r="BU83" s="11" t="e">
        <f>BU36+BU35+BU34+BU33+BU32+BU31+BU30+BU29+BU28+#REF!+#REF!+BU27+BU26+#REF!+#REF!+BU25+BU24+BU23+BU22+BU21+BU20+#REF!</f>
        <v>#REF!</v>
      </c>
      <c r="BV83" s="37"/>
      <c r="BW83" s="11" t="e">
        <f>BW36+BW35+BW34+BW33+BW32+BW31+BW30+BW29+BW28+#REF!+#REF!+BW27+BW26+#REF!+#REF!+BW25+BW24+BW23+BW22+BW21+BW20+#REF!</f>
        <v>#REF!</v>
      </c>
      <c r="BX83" s="11"/>
      <c r="BY83" s="11" t="e">
        <f>BY36+BY35+BY34+BY33+BY32+BY31+BY30+BY29+BY28+#REF!+#REF!+BY27+BY26+#REF!+#REF!+BY25+BY24+BY23+BY22+BY21+BY20+#REF!</f>
        <v>#REF!</v>
      </c>
      <c r="BZ83" s="11"/>
      <c r="CA83" s="11" t="e">
        <f>CA36+CA35+CA34+CA33+CA32+CA31+CA30+CA29+CA28+#REF!+#REF!+CA27+CA26+#REF!+#REF!+CA25+CA24+CA23+CA22+CA21+CA20+#REF!</f>
        <v>#REF!</v>
      </c>
      <c r="CB83" s="37"/>
      <c r="CC83" s="11" t="e">
        <f>CC36+CC35+CC34+CC33+CC32+CC31+CC30+CC29+CC28+#REF!+#REF!+CC27+CC26+#REF!+#REF!+CC25+CC24+CC23+CC22+CC21+CC20+#REF!</f>
        <v>#REF!</v>
      </c>
      <c r="CD83" s="37"/>
      <c r="CE83" s="11" t="e">
        <f>CE36+CE35+CE34+CE33+CE32+CE31+CE30+CE29+CE28+#REF!+#REF!+CE27+CE26+#REF!+#REF!+CE25+CE24+CE23+CE22+CE21+CE20+#REF!</f>
        <v>#REF!</v>
      </c>
      <c r="CF83" s="36"/>
      <c r="CG83" s="11" t="e">
        <f>CG36+CG35+CG34+CG33+CG32+CG31+CG30+CG29+CG28+#REF!+#REF!+CG27+CG26+#REF!+#REF!+CG25+CG24+CG23+CG22+CG21+CG20+#REF!</f>
        <v>#REF!</v>
      </c>
      <c r="CH83" s="151"/>
    </row>
    <row r="84" spans="1:86" hidden="1">
      <c r="A84" s="8"/>
      <c r="B84" s="8"/>
      <c r="H84" s="4"/>
      <c r="J84" s="8"/>
      <c r="BE84" s="4">
        <f>BE63+BE49</f>
        <v>456475.38</v>
      </c>
      <c r="BH84" s="11">
        <f>BH40+BH41+BH42+BH43+BH44+BH46+BH47</f>
        <v>65392.92</v>
      </c>
      <c r="BI84" s="37"/>
      <c r="BJ84" s="37"/>
      <c r="BK84" s="11">
        <f>BK40+BK41+BK42+BK43+BK44+BK46+BK47+BK52+BK63</f>
        <v>114310.09</v>
      </c>
      <c r="BL84" s="11"/>
      <c r="BM84" s="37"/>
      <c r="BN84" s="11">
        <f>BN40+BN41+BN42+BN43+BN44+BN46+BN47+BN52+BN63</f>
        <v>77062.84</v>
      </c>
      <c r="BO84" s="11"/>
      <c r="BP84" s="11"/>
      <c r="BQ84" s="11">
        <f>BQ40+BQ41+BQ42+BQ43+BQ44+BQ46+BQ47+BQ52+BQ63</f>
        <v>70618.010000000009</v>
      </c>
      <c r="BR84" s="37"/>
      <c r="BS84" s="11">
        <f>BS40+BS41+BS42+BS43+BS44+BS46+BS47+BS52+BS63</f>
        <v>58007.43</v>
      </c>
      <c r="BT84" s="37"/>
      <c r="BU84" s="11">
        <f>BU40+BU41+BU42+BU43+BU44+BU46+BU47+BU52+BU63</f>
        <v>48979.59</v>
      </c>
      <c r="BV84" s="37"/>
      <c r="BW84" s="11">
        <f t="shared" ref="BW84:CG84" si="16">BW40+BW41+BW42+BW43+BW44+BW46+BW47+BW52+BW63</f>
        <v>37974.270000000004</v>
      </c>
      <c r="BX84" s="11"/>
      <c r="BY84" s="11">
        <f t="shared" si="16"/>
        <v>28773.32</v>
      </c>
      <c r="BZ84" s="11"/>
      <c r="CA84" s="11">
        <f t="shared" si="16"/>
        <v>19685.48</v>
      </c>
      <c r="CB84" s="37"/>
      <c r="CC84" s="11">
        <f t="shared" si="16"/>
        <v>12566.96</v>
      </c>
      <c r="CD84" s="37"/>
      <c r="CE84" s="11">
        <f t="shared" si="16"/>
        <v>7622.39</v>
      </c>
      <c r="CF84" s="36"/>
      <c r="CG84" s="11">
        <f t="shared" si="16"/>
        <v>2677.7200000000003</v>
      </c>
      <c r="CH84" s="151"/>
    </row>
    <row r="85" spans="1:86" hidden="1">
      <c r="A85" s="8"/>
      <c r="B85" s="8"/>
      <c r="H85" s="4"/>
      <c r="J85" s="8"/>
      <c r="U85">
        <v>1956884.59</v>
      </c>
      <c r="X85">
        <v>1861624.62</v>
      </c>
      <c r="BE85">
        <f>BE63/10</f>
        <v>45647.538</v>
      </c>
      <c r="BH85" s="11">
        <f>BH84-BH47-BH46</f>
        <v>38752.92</v>
      </c>
    </row>
    <row r="86" spans="1:86" hidden="1">
      <c r="A86" s="8"/>
      <c r="B86" s="8"/>
      <c r="H86" s="4"/>
      <c r="J86" s="8"/>
      <c r="U86" s="4">
        <f>U47+X47+AA47+AD47+AG47+AI47+AK47+AM47+AO47</f>
        <v>0</v>
      </c>
      <c r="V86" s="4"/>
      <c r="X86">
        <v>530263.57999999996</v>
      </c>
      <c r="BH86" s="11"/>
    </row>
    <row r="87" spans="1:86" hidden="1">
      <c r="A87" s="8"/>
      <c r="B87" s="8"/>
      <c r="H87" s="4"/>
      <c r="J87" s="8"/>
      <c r="M87" s="4" t="e">
        <f>M37-M80</f>
        <v>#REF!</v>
      </c>
      <c r="R87" s="4">
        <f>R47+R46+R45</f>
        <v>0</v>
      </c>
      <c r="BH87" s="11" t="e">
        <f>BH83+BH84</f>
        <v>#REF!</v>
      </c>
      <c r="BI87" s="37"/>
      <c r="BJ87" s="37"/>
      <c r="BK87" s="11" t="e">
        <f>BK83+BK84</f>
        <v>#REF!</v>
      </c>
      <c r="BL87" s="11"/>
      <c r="BM87" s="37"/>
      <c r="BN87" s="11" t="e">
        <f>BN83+BN84</f>
        <v>#REF!</v>
      </c>
      <c r="BO87" s="11"/>
      <c r="BP87" s="11"/>
      <c r="BQ87" s="11" t="e">
        <f>BQ83+BQ84</f>
        <v>#REF!</v>
      </c>
      <c r="BR87" s="37"/>
      <c r="BS87" s="11" t="e">
        <f>BS83+BS84</f>
        <v>#REF!</v>
      </c>
      <c r="BT87" s="37"/>
      <c r="BU87" s="11" t="e">
        <f>BU83+BU84</f>
        <v>#REF!</v>
      </c>
      <c r="BV87" s="37"/>
      <c r="BW87" s="11" t="e">
        <f>BW83+BW84</f>
        <v>#REF!</v>
      </c>
      <c r="BX87" s="11"/>
      <c r="BY87" s="11" t="e">
        <f>BY83+BY84</f>
        <v>#REF!</v>
      </c>
      <c r="BZ87" s="11"/>
      <c r="CA87" s="11" t="e">
        <f>CA83+CA84</f>
        <v>#REF!</v>
      </c>
      <c r="CB87" s="37"/>
      <c r="CC87" s="11" t="e">
        <f>CC83+CC84</f>
        <v>#REF!</v>
      </c>
      <c r="CD87" s="37"/>
      <c r="CE87" s="11" t="e">
        <f>CE83+CE84</f>
        <v>#REF!</v>
      </c>
      <c r="CF87" s="11"/>
      <c r="CG87" s="11" t="e">
        <f>CG83+CG84</f>
        <v>#REF!</v>
      </c>
    </row>
    <row r="88" spans="1:86" hidden="1">
      <c r="A88" s="8"/>
      <c r="B88" s="8"/>
      <c r="D88" s="4">
        <f>H46+H47+H52+H63+H64</f>
        <v>456475.38000000006</v>
      </c>
      <c r="E88" s="4"/>
      <c r="F88" s="4"/>
      <c r="H88" s="4"/>
      <c r="J88" s="8"/>
      <c r="BE88">
        <f>(BE83-X63)/9</f>
        <v>118557.14333333334</v>
      </c>
    </row>
    <row r="89" spans="1:86" hidden="1">
      <c r="A89" s="8"/>
      <c r="B89" s="8"/>
      <c r="H89" s="4"/>
      <c r="J89" s="8"/>
      <c r="L89" t="s">
        <v>192</v>
      </c>
      <c r="M89" s="11"/>
      <c r="N89" s="11"/>
      <c r="O89" s="11"/>
      <c r="P89" s="11"/>
      <c r="Q89" s="11"/>
      <c r="R89" s="11">
        <v>5180699.4000000004</v>
      </c>
      <c r="S89" s="11"/>
      <c r="T89" s="11"/>
      <c r="U89" s="11">
        <v>618547.01</v>
      </c>
      <c r="V89" s="11"/>
      <c r="W89" s="11"/>
      <c r="X89" s="11">
        <v>269285.71000000002</v>
      </c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BH89" s="153">
        <f>BH40+BH41+BH42+BH46</f>
        <v>31918.76</v>
      </c>
      <c r="BI89" s="154"/>
      <c r="BJ89" s="154"/>
    </row>
    <row r="90" spans="1:86" hidden="1">
      <c r="A90" s="8"/>
      <c r="B90" s="8"/>
      <c r="H90" s="4"/>
      <c r="J90" s="8"/>
      <c r="L90" t="s">
        <v>193</v>
      </c>
      <c r="M90" s="20" t="e">
        <f>L37-M80</f>
        <v>#REF!</v>
      </c>
      <c r="N90" s="11"/>
      <c r="O90" s="11"/>
      <c r="P90" s="11"/>
      <c r="Q90" s="11"/>
      <c r="R90" s="20" t="e">
        <f>M90-R80+R89</f>
        <v>#REF!</v>
      </c>
      <c r="S90" s="11"/>
      <c r="T90" s="11"/>
      <c r="U90" s="20" t="e">
        <f>R90-U80+U89</f>
        <v>#REF!</v>
      </c>
      <c r="V90" s="20"/>
      <c r="W90" s="11"/>
      <c r="X90" s="20" t="e">
        <f>U90-X80+X89</f>
        <v>#REF!</v>
      </c>
      <c r="Y90" s="20"/>
      <c r="Z90" s="11"/>
      <c r="AA90" s="20" t="e">
        <f>X90-AA80</f>
        <v>#REF!</v>
      </c>
      <c r="AB90" s="20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BF90" t="s">
        <v>194</v>
      </c>
      <c r="BH90" t="e">
        <f>#REF!+BH20+#REF!</f>
        <v>#REF!</v>
      </c>
    </row>
    <row r="91" spans="1:86" hidden="1">
      <c r="A91" s="8"/>
      <c r="B91" s="8"/>
      <c r="H91" s="4"/>
      <c r="J91" s="8"/>
      <c r="BF91" t="s">
        <v>195</v>
      </c>
      <c r="BH91">
        <f>BH40+BH41+BH42+BH46+BH47</f>
        <v>45278.759999999995</v>
      </c>
    </row>
    <row r="92" spans="1:86" hidden="1">
      <c r="A92" s="8"/>
      <c r="B92" s="8"/>
      <c r="G92" t="s">
        <v>196</v>
      </c>
      <c r="H92" s="74">
        <v>1595412.22</v>
      </c>
      <c r="I92" s="75"/>
      <c r="J92" s="209"/>
      <c r="K92" s="75"/>
      <c r="L92" s="75"/>
      <c r="M92" s="75"/>
      <c r="N92" s="75"/>
      <c r="O92" s="75"/>
      <c r="P92" s="75"/>
      <c r="Q92" s="75"/>
      <c r="R92" s="74">
        <f>R44+R42+R41</f>
        <v>554579.05000000005</v>
      </c>
      <c r="S92" s="155">
        <f>S44+S42+S41</f>
        <v>489100.33</v>
      </c>
      <c r="T92" s="155">
        <f>T44+T42+T41</f>
        <v>65478.720000000001</v>
      </c>
      <c r="U92" s="74">
        <f>U44+U42+U41</f>
        <v>65478.7</v>
      </c>
      <c r="V92" s="74"/>
      <c r="W92" s="155">
        <f t="shared" ref="W92:AS92" si="17">W44+W42+W41</f>
        <v>65478.7</v>
      </c>
      <c r="X92" s="74">
        <f t="shared" si="17"/>
        <v>45755.360000000001</v>
      </c>
      <c r="Y92" s="74"/>
      <c r="Z92" s="155">
        <f t="shared" si="17"/>
        <v>45755.360000000001</v>
      </c>
      <c r="AA92" s="74">
        <f t="shared" si="17"/>
        <v>185436.76</v>
      </c>
      <c r="AB92" s="74"/>
      <c r="AC92" s="155">
        <f t="shared" si="17"/>
        <v>45755.360000000001</v>
      </c>
      <c r="AD92" s="74">
        <f t="shared" si="17"/>
        <v>185436.76</v>
      </c>
      <c r="AE92" s="74"/>
      <c r="AF92" s="155">
        <f t="shared" si="17"/>
        <v>45755.360000000001</v>
      </c>
      <c r="AG92" s="74">
        <f t="shared" si="17"/>
        <v>139681.4</v>
      </c>
      <c r="AH92" s="155">
        <f t="shared" si="17"/>
        <v>0</v>
      </c>
      <c r="AI92" s="74">
        <f t="shared" si="17"/>
        <v>139681.4</v>
      </c>
      <c r="AJ92" s="74">
        <f t="shared" si="17"/>
        <v>0</v>
      </c>
      <c r="AK92" s="74">
        <f t="shared" si="17"/>
        <v>139681.4</v>
      </c>
      <c r="AL92" s="74">
        <f t="shared" si="17"/>
        <v>0</v>
      </c>
      <c r="AM92" s="74">
        <f t="shared" si="17"/>
        <v>139681.38</v>
      </c>
      <c r="AN92" s="74">
        <f t="shared" si="17"/>
        <v>0</v>
      </c>
      <c r="AO92" s="74">
        <f t="shared" si="17"/>
        <v>0</v>
      </c>
      <c r="AP92" s="74"/>
      <c r="AQ92" s="74">
        <f t="shared" si="17"/>
        <v>0</v>
      </c>
      <c r="AR92" s="74"/>
      <c r="AS92" s="74">
        <f t="shared" si="17"/>
        <v>0</v>
      </c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F92" t="s">
        <v>197</v>
      </c>
      <c r="BH92" t="e">
        <f>BH90+BH91</f>
        <v>#REF!</v>
      </c>
    </row>
    <row r="93" spans="1:86" hidden="1">
      <c r="A93" s="8"/>
      <c r="B93" s="8"/>
      <c r="H93" s="4"/>
      <c r="J93" s="8"/>
      <c r="BH93" t="e">
        <f>BH83+BH40+BH41+BH42+BH44</f>
        <v>#REF!</v>
      </c>
    </row>
    <row r="94" spans="1:86" hidden="1">
      <c r="A94" s="8"/>
      <c r="B94" s="8"/>
      <c r="H94" s="4"/>
      <c r="J94" s="8"/>
      <c r="N94" s="156">
        <f>R94+U94+X94+AA94+AD94+AG94+AI94+AK94++AM94+AO94+AQ94+AS94</f>
        <v>0</v>
      </c>
      <c r="O94" s="157"/>
      <c r="P94" s="157"/>
      <c r="Q94" s="157"/>
      <c r="R94" s="116">
        <f>R45+R46+R47+R48+R49+R50</f>
        <v>0</v>
      </c>
      <c r="S94" s="158">
        <f t="shared" ref="S94:AS94" si="18">S45+S46+S47+S48+S49+S50</f>
        <v>0</v>
      </c>
      <c r="T94" s="116">
        <f t="shared" si="18"/>
        <v>0</v>
      </c>
      <c r="U94" s="116">
        <f t="shared" si="18"/>
        <v>0</v>
      </c>
      <c r="V94" s="116"/>
      <c r="W94" s="116">
        <f t="shared" si="18"/>
        <v>0</v>
      </c>
      <c r="X94" s="116">
        <f t="shared" si="18"/>
        <v>0</v>
      </c>
      <c r="Y94" s="116"/>
      <c r="Z94" s="116">
        <f t="shared" si="18"/>
        <v>0</v>
      </c>
      <c r="AA94" s="116">
        <f t="shared" si="18"/>
        <v>0</v>
      </c>
      <c r="AB94" s="116"/>
      <c r="AC94" s="116">
        <f t="shared" si="18"/>
        <v>0</v>
      </c>
      <c r="AD94" s="116">
        <f t="shared" si="18"/>
        <v>0</v>
      </c>
      <c r="AE94" s="116"/>
      <c r="AF94" s="116">
        <f t="shared" si="18"/>
        <v>0</v>
      </c>
      <c r="AG94" s="116">
        <f t="shared" si="18"/>
        <v>0</v>
      </c>
      <c r="AH94" s="116">
        <f t="shared" si="18"/>
        <v>0</v>
      </c>
      <c r="AI94" s="116">
        <f t="shared" si="18"/>
        <v>0</v>
      </c>
      <c r="AJ94" s="116">
        <f t="shared" si="18"/>
        <v>0</v>
      </c>
      <c r="AK94" s="116">
        <f t="shared" si="18"/>
        <v>0</v>
      </c>
      <c r="AL94" s="116">
        <f t="shared" si="18"/>
        <v>0</v>
      </c>
      <c r="AM94" s="116">
        <f t="shared" si="18"/>
        <v>0</v>
      </c>
      <c r="AN94" s="116">
        <f t="shared" si="18"/>
        <v>0</v>
      </c>
      <c r="AO94" s="116">
        <f t="shared" si="18"/>
        <v>0</v>
      </c>
      <c r="AP94" s="116"/>
      <c r="AQ94" s="116">
        <f t="shared" si="18"/>
        <v>0</v>
      </c>
      <c r="AR94" s="116"/>
      <c r="AS94" s="116">
        <f t="shared" si="18"/>
        <v>0</v>
      </c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H94" t="e">
        <f>BH83+BH85</f>
        <v>#REF!</v>
      </c>
    </row>
    <row r="95" spans="1:86" hidden="1">
      <c r="A95" s="8"/>
      <c r="B95" s="8"/>
      <c r="H95" s="4"/>
      <c r="J95" s="8"/>
      <c r="BH95">
        <v>2020</v>
      </c>
      <c r="BK95">
        <v>2021</v>
      </c>
      <c r="BN95">
        <v>2022</v>
      </c>
      <c r="BQ95">
        <v>2023</v>
      </c>
      <c r="BS95">
        <v>2024</v>
      </c>
      <c r="BU95">
        <v>2025</v>
      </c>
      <c r="BW95">
        <v>2026</v>
      </c>
      <c r="BY95">
        <v>2027</v>
      </c>
      <c r="CA95">
        <v>2028</v>
      </c>
      <c r="CC95">
        <v>2029</v>
      </c>
      <c r="CE95">
        <v>2030</v>
      </c>
      <c r="CG95">
        <v>2031</v>
      </c>
    </row>
    <row r="96" spans="1:86" hidden="1">
      <c r="A96" s="8"/>
      <c r="B96" s="8"/>
      <c r="H96" s="4"/>
      <c r="J96" s="8"/>
      <c r="T96" s="11" t="s">
        <v>198</v>
      </c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70" t="e">
        <f>#REF!+BH20+#REF!+BH41+BH42+BH46+BH40</f>
        <v>#REF!</v>
      </c>
      <c r="BI96" s="71"/>
      <c r="BJ96" s="71"/>
      <c r="BK96" s="70" t="e">
        <f>#REF!+BK20+#REF!+BK41+BK42+BK46+BK40</f>
        <v>#REF!</v>
      </c>
      <c r="BL96" s="70"/>
      <c r="BM96" s="71"/>
      <c r="BN96" s="70" t="e">
        <f>#REF!+BN20+#REF!+BN41+BN42+BN46+BN40</f>
        <v>#REF!</v>
      </c>
      <c r="BO96" s="70"/>
      <c r="BP96" s="70"/>
      <c r="BQ96" s="70" t="e">
        <f>#REF!+BQ20+#REF!+BQ41+BQ42+BQ46+BQ40</f>
        <v>#REF!</v>
      </c>
      <c r="BR96" s="71"/>
      <c r="BS96" s="70" t="e">
        <f>#REF!+BS20+#REF!+BS41+BS42+BS46+BS40</f>
        <v>#REF!</v>
      </c>
      <c r="BT96" s="71"/>
      <c r="BU96" s="70" t="e">
        <f>#REF!+BU20+#REF!+BU41+BU42+BU46</f>
        <v>#REF!</v>
      </c>
      <c r="BV96" s="71"/>
      <c r="BW96" s="70" t="e">
        <f>#REF!+BW20+#REF!+BW41+BW42+BW46</f>
        <v>#REF!</v>
      </c>
      <c r="BX96" s="70"/>
      <c r="BY96" s="70" t="e">
        <f>#REF!+BY20+#REF!+BY41+BY42+BY46</f>
        <v>#REF!</v>
      </c>
      <c r="BZ96" s="70"/>
      <c r="CA96" s="70" t="e">
        <f>#REF!+CA20+#REF!+CA41+CA42+CA46</f>
        <v>#REF!</v>
      </c>
      <c r="CB96" s="71"/>
      <c r="CC96" s="70" t="e">
        <f>#REF!+CC20+#REF!+CC41+CC42+CC46</f>
        <v>#REF!</v>
      </c>
      <c r="CD96" s="71"/>
      <c r="CE96" s="70" t="e">
        <f>#REF!+CE20+#REF!+CE41+CE42+CE46</f>
        <v>#REF!</v>
      </c>
      <c r="CF96" s="70"/>
      <c r="CG96" s="70" t="e">
        <f>#REF!+CG20+#REF!</f>
        <v>#REF!</v>
      </c>
    </row>
    <row r="97" spans="1:85" hidden="1">
      <c r="A97" s="8"/>
      <c r="B97" s="8"/>
      <c r="H97" s="4"/>
      <c r="J97" s="8"/>
      <c r="T97" s="11" t="s">
        <v>199</v>
      </c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59">
        <f>BH47</f>
        <v>13360</v>
      </c>
      <c r="BI97" s="160"/>
      <c r="BJ97" s="160"/>
      <c r="BK97" s="159"/>
      <c r="BL97" s="159"/>
      <c r="BM97" s="160"/>
      <c r="BN97" s="159"/>
      <c r="BO97" s="159"/>
      <c r="BP97" s="159"/>
      <c r="BQ97" s="159"/>
      <c r="BR97" s="160"/>
      <c r="BS97" s="159">
        <f t="shared" ref="BS97:CE97" si="19">BS40</f>
        <v>0</v>
      </c>
      <c r="BT97" s="160"/>
      <c r="BU97" s="159">
        <f t="shared" si="19"/>
        <v>0</v>
      </c>
      <c r="BV97" s="160"/>
      <c r="BW97" s="159">
        <f t="shared" si="19"/>
        <v>0</v>
      </c>
      <c r="BX97" s="159"/>
      <c r="BY97" s="159">
        <f t="shared" si="19"/>
        <v>0</v>
      </c>
      <c r="BZ97" s="159"/>
      <c r="CA97" s="159">
        <f t="shared" si="19"/>
        <v>0</v>
      </c>
      <c r="CB97" s="160"/>
      <c r="CC97" s="159">
        <f t="shared" si="19"/>
        <v>0</v>
      </c>
      <c r="CD97" s="160"/>
      <c r="CE97" s="159">
        <f t="shared" si="19"/>
        <v>0</v>
      </c>
      <c r="CF97" s="159"/>
      <c r="CG97" s="159">
        <f>CG42+CG41+CG40+CG46</f>
        <v>0</v>
      </c>
    </row>
    <row r="98" spans="1:85" hidden="1">
      <c r="A98" s="8"/>
      <c r="B98" s="8"/>
      <c r="H98" s="4"/>
      <c r="J98" s="8"/>
      <c r="T98" s="161" t="s">
        <v>200</v>
      </c>
      <c r="U98" s="161"/>
      <c r="V98" s="161"/>
      <c r="W98" s="161"/>
      <c r="X98" s="161"/>
      <c r="Y98" s="161"/>
      <c r="Z98" s="161"/>
      <c r="AA98" s="161"/>
      <c r="AB98" s="161"/>
      <c r="AC98" s="161"/>
      <c r="AD98" s="161"/>
      <c r="AE98" s="161"/>
      <c r="AF98" s="161"/>
      <c r="AG98" s="161"/>
      <c r="AH98" s="161"/>
      <c r="AI98" s="161"/>
      <c r="AJ98" s="161"/>
      <c r="AK98" s="161"/>
      <c r="AL98" s="161"/>
      <c r="AM98" s="161"/>
      <c r="AN98" s="161"/>
      <c r="AO98" s="161"/>
      <c r="AP98" s="161"/>
      <c r="AQ98" s="161"/>
      <c r="AR98" s="161"/>
      <c r="AS98" s="161"/>
      <c r="AT98" s="161"/>
      <c r="AU98" s="161"/>
      <c r="AV98" s="161"/>
      <c r="AW98" s="161"/>
      <c r="AX98" s="161"/>
      <c r="AY98" s="161"/>
      <c r="AZ98" s="161"/>
      <c r="BA98" s="161"/>
      <c r="BB98" s="161"/>
      <c r="BC98" s="161"/>
      <c r="BD98" s="161"/>
      <c r="BE98" s="11"/>
      <c r="BF98" s="11"/>
      <c r="BG98" s="11"/>
      <c r="BH98" s="76" t="e">
        <f>BH21+BH22+BH23+BH24+BH25+#REF!+BH26+BH27+#REF!+#REF!+BH28+BH29+BH30+BH31+BH32+BH33+BH34+BH35+BH36+BH44+BH52+BH63+BH64</f>
        <v>#REF!</v>
      </c>
      <c r="BI98" s="77"/>
      <c r="BJ98" s="77"/>
      <c r="BK98" s="76" t="e">
        <f>BK21+BK22+BK23+BK24+BK25+#REF!+BK26+BK27+#REF!+#REF!+BK28+BK29+BK30+BK31+BK32+BK33+BK34+BK35+BK36+BK44+BK52+BK63+BK64+BK47</f>
        <v>#REF!</v>
      </c>
      <c r="BL98" s="76"/>
      <c r="BM98" s="77"/>
      <c r="BN98" s="76" t="e">
        <f>BN21+BN22+BN23+BN24+BN25+#REF!+BN26+BN27+#REF!+#REF!+BN28+BN29+BN30+BN31+BN32+BN33+BN34+BN35+BN36+BN44+BN52+BN63+BN64+BN47</f>
        <v>#REF!</v>
      </c>
      <c r="BO98" s="76"/>
      <c r="BP98" s="76"/>
      <c r="BQ98" s="76" t="e">
        <f>BQ21+BQ22+BQ23+BQ24+BQ25+#REF!+BQ26+BQ27+#REF!+#REF!+BQ28+BQ29+BQ30+BQ31+BQ32+BQ33+BQ34+BQ35+BQ36+BQ44+BQ52+BQ63+BQ64+BQ47</f>
        <v>#REF!</v>
      </c>
      <c r="BR98" s="77"/>
      <c r="BS98" s="76" t="e">
        <f>BS21+BS22+BS23+BS24+BS25+#REF!+BS26+BS27+#REF!+#REF!+BS28+BS29+BS30+BS31+BS32+BS33+BS34+BS35+BS36+BS44+BS52+BS63+BS64+BS47</f>
        <v>#REF!</v>
      </c>
      <c r="BT98" s="77"/>
      <c r="BU98" s="76" t="e">
        <f>BU21+BU22+BU23+BU24+BU25+#REF!+BU26+BU27+#REF!+#REF!+BU28+BU29+BU30+BU31+BU32+BU33+BU34+BU35+BU36+BU44+BU52+BU63+BU64+BU47</f>
        <v>#REF!</v>
      </c>
      <c r="BV98" s="77"/>
      <c r="BW98" s="76" t="e">
        <f>BW21+BW22+BW23+BW24+BW25+#REF!+BW26+BW27+#REF!+#REF!+BW28+BW29+BW30+BW31+BW32+BW33+BW34+BW35+BW36+BW44+BW52+BW63+BW64+BW47</f>
        <v>#REF!</v>
      </c>
      <c r="BX98" s="76"/>
      <c r="BY98" s="76" t="e">
        <f>BY21+BY22+BY23+BY24+BY25+#REF!+BY26+BY27+#REF!+#REF!+BY28+BY29+BY30+BY31+BY32+BY33+BY34+BY35+BY36+BY44+BY52+BY63+BY64+BY47</f>
        <v>#REF!</v>
      </c>
      <c r="BZ98" s="76"/>
      <c r="CA98" s="76" t="e">
        <f>CA21+CA22+CA23+CA24+CA25+#REF!+CA26+CA27+#REF!+#REF!+CA28+CA29+CA30+CA31+CA32+CA33+CA34+CA35+CA36+CA44+CA52+CA63+CA64+CA47</f>
        <v>#REF!</v>
      </c>
      <c r="CB98" s="77"/>
      <c r="CC98" s="76" t="e">
        <f>CC21+CC22+CC23+CC24+CC25+#REF!+CC26+CC27+#REF!+#REF!+CC28+CC29+CC30+CC31+CC32+CC33+CC34+CC35+CC36+CC44+CC52+CC63+CC64+CC47</f>
        <v>#REF!</v>
      </c>
      <c r="CD98" s="77"/>
      <c r="CE98" s="76" t="e">
        <f>CE21+CE22+CE23+CE24+CE25+#REF!+CE26+CE27+#REF!+#REF!+CE28+CE29+CE30+CE31+CE32+CE33+CE34+CE35+CE36+CE44+CE52+CE63+CE64+CE47</f>
        <v>#REF!</v>
      </c>
      <c r="CF98" s="76"/>
      <c r="CG98" s="76" t="e">
        <f>CG21+CG22+CG23+CG24+CG25+#REF!+CG26+CG27+#REF!+#REF!+CG28+CG29+CG30+CG31+CG32+CG33+CG34+CG35+CG36+CG44+CG52+CG63+CG64+CG47</f>
        <v>#REF!</v>
      </c>
    </row>
    <row r="99" spans="1:85" hidden="1">
      <c r="A99" s="8"/>
      <c r="B99" s="8"/>
      <c r="G99" s="157" t="s">
        <v>201</v>
      </c>
      <c r="H99" s="152"/>
      <c r="I99" s="152">
        <f>J99-L99</f>
        <v>0</v>
      </c>
      <c r="J99" s="210">
        <f>K46+K50</f>
        <v>0</v>
      </c>
      <c r="K99" s="162" t="s">
        <v>202</v>
      </c>
      <c r="L99" s="20">
        <f>R99+U99+X99+AA99+AD99+AG99+AI99+AK99+AM99+AO99+AQ99+AS99</f>
        <v>0</v>
      </c>
      <c r="M99" s="20">
        <f>M46+M50</f>
        <v>0</v>
      </c>
      <c r="N99" s="20">
        <f t="shared" ref="N99:AS99" si="20">N46+N50</f>
        <v>0</v>
      </c>
      <c r="O99" s="20">
        <f t="shared" si="20"/>
        <v>0</v>
      </c>
      <c r="P99" s="20"/>
      <c r="Q99" s="20"/>
      <c r="R99" s="20">
        <f t="shared" si="20"/>
        <v>0</v>
      </c>
      <c r="S99" s="20">
        <f t="shared" si="20"/>
        <v>0</v>
      </c>
      <c r="T99" s="20">
        <f t="shared" si="20"/>
        <v>0</v>
      </c>
      <c r="U99" s="20">
        <f t="shared" si="20"/>
        <v>0</v>
      </c>
      <c r="V99" s="20"/>
      <c r="W99" s="20">
        <f t="shared" si="20"/>
        <v>0</v>
      </c>
      <c r="X99" s="20">
        <f t="shared" si="20"/>
        <v>0</v>
      </c>
      <c r="Y99" s="20"/>
      <c r="Z99" s="20">
        <f t="shared" si="20"/>
        <v>0</v>
      </c>
      <c r="AA99" s="20">
        <f t="shared" si="20"/>
        <v>0</v>
      </c>
      <c r="AB99" s="20"/>
      <c r="AC99" s="20">
        <f t="shared" si="20"/>
        <v>0</v>
      </c>
      <c r="AD99" s="20">
        <f t="shared" si="20"/>
        <v>0</v>
      </c>
      <c r="AE99" s="20"/>
      <c r="AF99" s="20">
        <f t="shared" si="20"/>
        <v>0</v>
      </c>
      <c r="AG99" s="20">
        <f t="shared" si="20"/>
        <v>0</v>
      </c>
      <c r="AH99" s="20">
        <f t="shared" si="20"/>
        <v>0</v>
      </c>
      <c r="AI99" s="20">
        <f t="shared" si="20"/>
        <v>0</v>
      </c>
      <c r="AJ99" s="20">
        <f t="shared" si="20"/>
        <v>0</v>
      </c>
      <c r="AK99" s="20">
        <f t="shared" si="20"/>
        <v>0</v>
      </c>
      <c r="AL99" s="20">
        <f t="shared" si="20"/>
        <v>0</v>
      </c>
      <c r="AM99" s="20">
        <f t="shared" si="20"/>
        <v>0</v>
      </c>
      <c r="AN99" s="20">
        <f t="shared" si="20"/>
        <v>0</v>
      </c>
      <c r="AO99" s="20">
        <f t="shared" si="20"/>
        <v>0</v>
      </c>
      <c r="AP99" s="20"/>
      <c r="AQ99" s="20">
        <f t="shared" si="20"/>
        <v>0</v>
      </c>
      <c r="AR99" s="20"/>
      <c r="AS99" s="20">
        <f t="shared" si="20"/>
        <v>0</v>
      </c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H99" t="e">
        <f>BH96+BH97+BH98</f>
        <v>#REF!</v>
      </c>
      <c r="BK99" t="e">
        <f t="shared" ref="BK99:CG99" si="21">BK96+BK97+BK98</f>
        <v>#REF!</v>
      </c>
      <c r="BN99" t="e">
        <f t="shared" si="21"/>
        <v>#REF!</v>
      </c>
      <c r="BQ99" t="e">
        <f t="shared" si="21"/>
        <v>#REF!</v>
      </c>
      <c r="BS99" t="e">
        <f t="shared" si="21"/>
        <v>#REF!</v>
      </c>
      <c r="BU99" t="e">
        <f t="shared" si="21"/>
        <v>#REF!</v>
      </c>
      <c r="BW99" t="e">
        <f t="shared" si="21"/>
        <v>#REF!</v>
      </c>
      <c r="BY99" t="e">
        <f t="shared" si="21"/>
        <v>#REF!</v>
      </c>
      <c r="CA99" t="e">
        <f t="shared" si="21"/>
        <v>#REF!</v>
      </c>
      <c r="CC99" t="e">
        <f t="shared" si="21"/>
        <v>#REF!</v>
      </c>
      <c r="CE99" t="e">
        <f t="shared" si="21"/>
        <v>#REF!</v>
      </c>
      <c r="CG99" t="e">
        <f t="shared" si="21"/>
        <v>#REF!</v>
      </c>
    </row>
    <row r="100" spans="1:85" hidden="1">
      <c r="A100" s="8"/>
      <c r="B100" s="8"/>
      <c r="G100" s="143" t="s">
        <v>203</v>
      </c>
      <c r="H100" s="110"/>
      <c r="I100" s="143"/>
      <c r="J100" s="211"/>
      <c r="K100" s="143" t="s">
        <v>204</v>
      </c>
      <c r="L100" s="20">
        <f>R100+U100+X100+AA100+AD100+AG100+AI100+AK100+AM100+AO100+AQ100+AS100</f>
        <v>0</v>
      </c>
      <c r="M100" s="11"/>
      <c r="N100" s="11"/>
      <c r="O100" s="11"/>
      <c r="P100" s="11"/>
      <c r="Q100" s="11"/>
      <c r="R100" s="20">
        <f>R49+R48+R47+R45</f>
        <v>0</v>
      </c>
      <c r="S100" s="163">
        <f t="shared" ref="S100:AS100" si="22">S49+S48+S47+S45</f>
        <v>0</v>
      </c>
      <c r="T100" s="20">
        <f t="shared" si="22"/>
        <v>0</v>
      </c>
      <c r="U100" s="20">
        <f t="shared" si="22"/>
        <v>0</v>
      </c>
      <c r="V100" s="20"/>
      <c r="W100" s="20">
        <f t="shared" si="22"/>
        <v>0</v>
      </c>
      <c r="X100" s="20">
        <f t="shared" si="22"/>
        <v>0</v>
      </c>
      <c r="Y100" s="20"/>
      <c r="Z100" s="20">
        <f t="shared" si="22"/>
        <v>0</v>
      </c>
      <c r="AA100" s="20">
        <f t="shared" si="22"/>
        <v>0</v>
      </c>
      <c r="AB100" s="20"/>
      <c r="AC100" s="20">
        <f t="shared" si="22"/>
        <v>0</v>
      </c>
      <c r="AD100" s="20">
        <f t="shared" si="22"/>
        <v>0</v>
      </c>
      <c r="AE100" s="20"/>
      <c r="AF100" s="20">
        <f t="shared" si="22"/>
        <v>0</v>
      </c>
      <c r="AG100" s="20">
        <f t="shared" si="22"/>
        <v>0</v>
      </c>
      <c r="AH100" s="20">
        <f t="shared" si="22"/>
        <v>0</v>
      </c>
      <c r="AI100" s="20">
        <f t="shared" si="22"/>
        <v>0</v>
      </c>
      <c r="AJ100" s="20">
        <f t="shared" si="22"/>
        <v>0</v>
      </c>
      <c r="AK100" s="20">
        <f t="shared" si="22"/>
        <v>0</v>
      </c>
      <c r="AL100" s="20">
        <f t="shared" si="22"/>
        <v>0</v>
      </c>
      <c r="AM100" s="20">
        <f t="shared" si="22"/>
        <v>0</v>
      </c>
      <c r="AN100" s="20">
        <f t="shared" si="22"/>
        <v>0</v>
      </c>
      <c r="AO100" s="20">
        <f t="shared" si="22"/>
        <v>0</v>
      </c>
      <c r="AP100" s="20"/>
      <c r="AQ100" s="20">
        <f t="shared" si="22"/>
        <v>0</v>
      </c>
      <c r="AR100" s="20"/>
      <c r="AS100" s="20">
        <f t="shared" si="22"/>
        <v>0</v>
      </c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</row>
    <row r="101" spans="1:85" hidden="1">
      <c r="A101" s="8"/>
      <c r="B101" s="8"/>
      <c r="H101" s="4"/>
      <c r="J101" s="8"/>
      <c r="L101" s="4">
        <f>L99+L100</f>
        <v>0</v>
      </c>
    </row>
    <row r="102" spans="1:85" hidden="1">
      <c r="A102" s="8"/>
      <c r="B102" s="8"/>
      <c r="H102" s="4"/>
      <c r="J102" s="8"/>
      <c r="L102" s="4">
        <f>L101-K83</f>
        <v>0</v>
      </c>
      <c r="U102" s="4" t="e">
        <f>U80-U85</f>
        <v>#REF!</v>
      </c>
      <c r="V102" s="4"/>
      <c r="X102" s="4" t="e">
        <f>X80-X85</f>
        <v>#REF!</v>
      </c>
      <c r="Y102" s="4"/>
    </row>
    <row r="103" spans="1:85" hidden="1">
      <c r="A103" s="8"/>
      <c r="B103" s="8"/>
      <c r="H103" s="4"/>
      <c r="J103" s="8"/>
    </row>
    <row r="104" spans="1:85" hidden="1">
      <c r="A104" s="8"/>
      <c r="B104" s="8"/>
      <c r="H104" s="4"/>
      <c r="J104" s="8"/>
      <c r="U104" s="38">
        <f>U47+U44</f>
        <v>0</v>
      </c>
      <c r="V104" s="38"/>
      <c r="W104" s="164"/>
      <c r="X104" s="38">
        <f>X63+X52+X47+X44</f>
        <v>0</v>
      </c>
      <c r="Y104" s="38"/>
    </row>
    <row r="105" spans="1:85" hidden="1">
      <c r="A105" s="8"/>
      <c r="B105" s="8"/>
      <c r="H105" s="4"/>
      <c r="J105" s="8"/>
    </row>
    <row r="106" spans="1:85" hidden="1">
      <c r="A106" s="8"/>
      <c r="B106" s="8"/>
      <c r="G106" t="s">
        <v>205</v>
      </c>
      <c r="H106" s="4" t="e">
        <f>R37</f>
        <v>#REF!</v>
      </c>
      <c r="J106" s="8">
        <f>0</f>
        <v>0</v>
      </c>
      <c r="U106" s="165" t="e">
        <f>U102-U104</f>
        <v>#REF!</v>
      </c>
      <c r="V106" s="165"/>
      <c r="W106" s="166"/>
      <c r="X106" s="165" t="e">
        <f>X102-X104</f>
        <v>#REF!</v>
      </c>
      <c r="Y106" s="165"/>
    </row>
    <row r="107" spans="1:85" hidden="1">
      <c r="A107" s="8"/>
      <c r="B107" s="8"/>
      <c r="G107" t="s">
        <v>206</v>
      </c>
      <c r="H107" s="4" t="e">
        <f>U37+X37+AA37+AD37+AG37</f>
        <v>#REF!</v>
      </c>
      <c r="J107" s="195" t="e">
        <f>I36+I35+I34+I33+I32+I31+#REF!</f>
        <v>#REF!</v>
      </c>
    </row>
    <row r="108" spans="1:85" hidden="1">
      <c r="A108" s="8"/>
      <c r="B108" s="8"/>
      <c r="G108" t="s">
        <v>207</v>
      </c>
      <c r="H108" s="4" t="e">
        <f>AI37+AK37+AM37+AO37</f>
        <v>#REF!</v>
      </c>
      <c r="J108" s="195" t="e">
        <f>I30+I29+I28+#REF!+#REF!+I27+I26+#REF!+#REF!+I25+I24+I23+I22+I21+I20+I19</f>
        <v>#REF!</v>
      </c>
    </row>
    <row r="109" spans="1:85" hidden="1">
      <c r="A109" s="8"/>
      <c r="B109" s="8"/>
      <c r="H109" s="4" t="e">
        <f>H108+H107+H106</f>
        <v>#REF!</v>
      </c>
      <c r="J109" s="195" t="e">
        <f>J108+J107</f>
        <v>#REF!</v>
      </c>
    </row>
    <row r="110" spans="1:85" hidden="1">
      <c r="A110" s="8"/>
      <c r="B110" s="8"/>
      <c r="H110" s="4" t="e">
        <f>H109-I37</f>
        <v>#REF!</v>
      </c>
      <c r="J110" s="195" t="e">
        <f>J109-I37</f>
        <v>#REF!</v>
      </c>
    </row>
    <row r="111" spans="1:85" hidden="1">
      <c r="A111" s="8"/>
      <c r="B111" s="8"/>
      <c r="H111" s="4"/>
      <c r="J111" s="8"/>
    </row>
    <row r="112" spans="1:85" hidden="1">
      <c r="A112" s="8"/>
      <c r="B112" s="8"/>
      <c r="H112" s="4"/>
      <c r="J112" s="8"/>
    </row>
    <row r="113" spans="1:27" hidden="1">
      <c r="A113" s="8"/>
      <c r="B113" s="8"/>
      <c r="H113" s="4"/>
      <c r="J113" s="8"/>
    </row>
    <row r="114" spans="1:27" hidden="1">
      <c r="A114" s="8"/>
      <c r="B114" s="8"/>
      <c r="H114" s="4"/>
      <c r="J114" s="8"/>
      <c r="K114" s="4"/>
    </row>
    <row r="115" spans="1:27" hidden="1">
      <c r="A115" s="8"/>
      <c r="B115" s="8"/>
      <c r="H115" s="4"/>
      <c r="J115" s="195">
        <f>J76-I76</f>
        <v>0</v>
      </c>
      <c r="Y115" s="4" t="e">
        <f>Y37+Z37+AC37+AF37+AH37+AJ37+AL37+AN37+AP37+AR37+AT37+AV37</f>
        <v>#REF!</v>
      </c>
      <c r="AA115">
        <v>4567565.99</v>
      </c>
    </row>
    <row r="116" spans="1:27" hidden="1">
      <c r="A116" s="8"/>
      <c r="B116" s="8"/>
      <c r="H116" s="4"/>
      <c r="J116" s="8"/>
      <c r="Y116">
        <v>3904068.69</v>
      </c>
    </row>
    <row r="117" spans="1:27" hidden="1">
      <c r="A117" s="8"/>
      <c r="B117" s="8"/>
      <c r="H117" s="4"/>
      <c r="J117" s="8"/>
      <c r="Y117" s="4" t="e">
        <f>Y115-Y116</f>
        <v>#REF!</v>
      </c>
      <c r="AA117" s="4" t="e">
        <f>AA80-AA115</f>
        <v>#REF!</v>
      </c>
    </row>
    <row r="118" spans="1:27" hidden="1">
      <c r="A118" s="8"/>
      <c r="B118" s="8"/>
      <c r="H118" s="4"/>
      <c r="J118" s="8"/>
    </row>
    <row r="119" spans="1:27" hidden="1">
      <c r="A119" s="8"/>
      <c r="B119" s="8"/>
      <c r="H119" s="4" t="s">
        <v>208</v>
      </c>
      <c r="J119" s="8"/>
    </row>
    <row r="120" spans="1:27" hidden="1">
      <c r="A120" s="8"/>
      <c r="B120" s="8"/>
      <c r="H120" s="168" t="s">
        <v>209</v>
      </c>
      <c r="I120" s="167"/>
      <c r="J120" s="212">
        <f>J74</f>
        <v>1500000</v>
      </c>
    </row>
    <row r="121" spans="1:27" hidden="1">
      <c r="A121" s="8"/>
      <c r="B121" s="8"/>
      <c r="H121" s="168" t="s">
        <v>210</v>
      </c>
      <c r="I121" s="167"/>
      <c r="J121" s="213">
        <f>J69</f>
        <v>499999.99999999988</v>
      </c>
    </row>
    <row r="122" spans="1:27" hidden="1">
      <c r="A122" s="8"/>
      <c r="B122" s="8"/>
      <c r="H122" s="168" t="s">
        <v>211</v>
      </c>
      <c r="I122" s="167"/>
      <c r="J122" s="212">
        <f>J67</f>
        <v>465966.92</v>
      </c>
    </row>
    <row r="123" spans="1:27" hidden="1">
      <c r="A123" s="8"/>
      <c r="B123" s="8"/>
      <c r="H123" s="168" t="s">
        <v>212</v>
      </c>
      <c r="J123" s="213">
        <f>J75</f>
        <v>36760.020000000004</v>
      </c>
    </row>
    <row r="124" spans="1:27" hidden="1">
      <c r="A124" s="8"/>
      <c r="B124" s="8"/>
      <c r="H124" s="168" t="s">
        <v>213</v>
      </c>
      <c r="J124" s="212">
        <f>J63</f>
        <v>585962.78</v>
      </c>
    </row>
    <row r="125" spans="1:27" hidden="1">
      <c r="A125" s="8"/>
      <c r="B125" s="8"/>
      <c r="H125" s="168" t="s">
        <v>214</v>
      </c>
      <c r="J125" s="212">
        <f>I76</f>
        <v>513882.58</v>
      </c>
    </row>
    <row r="126" spans="1:27" hidden="1">
      <c r="A126" s="8"/>
      <c r="B126" s="8"/>
      <c r="H126" s="4"/>
      <c r="J126" s="8"/>
    </row>
    <row r="127" spans="1:27" hidden="1">
      <c r="A127" s="8"/>
      <c r="B127" s="8"/>
      <c r="H127" s="4"/>
      <c r="J127" s="8">
        <f>SUM(J120:J126)</f>
        <v>3602572.3</v>
      </c>
    </row>
    <row r="128" spans="1:27" hidden="1">
      <c r="A128" s="8"/>
      <c r="B128" s="8"/>
      <c r="H128" s="4"/>
      <c r="J128" s="8"/>
    </row>
    <row r="129" spans="1:10" hidden="1">
      <c r="A129" s="8"/>
      <c r="B129" s="8"/>
      <c r="H129" s="4"/>
      <c r="J129" s="8"/>
    </row>
    <row r="130" spans="1:10" hidden="1">
      <c r="A130" s="8"/>
      <c r="B130" s="8"/>
      <c r="H130" s="4"/>
      <c r="J130" s="8"/>
    </row>
    <row r="131" spans="1:10" hidden="1">
      <c r="A131" s="8"/>
      <c r="B131" s="8"/>
      <c r="H131" s="4"/>
      <c r="J131" s="8"/>
    </row>
    <row r="132" spans="1:10" hidden="1">
      <c r="A132" s="8"/>
      <c r="B132" s="8"/>
      <c r="H132" s="4"/>
      <c r="J132" s="8"/>
    </row>
    <row r="133" spans="1:10" hidden="1">
      <c r="A133" s="8"/>
      <c r="B133" s="8"/>
      <c r="H133" s="4"/>
      <c r="J133" s="8"/>
    </row>
    <row r="134" spans="1:10" hidden="1">
      <c r="A134" s="8"/>
      <c r="B134" s="8"/>
      <c r="H134" s="4"/>
      <c r="J134" s="8"/>
    </row>
    <row r="135" spans="1:10" hidden="1">
      <c r="A135" s="8"/>
      <c r="B135" s="8"/>
      <c r="H135" s="4"/>
      <c r="J135" s="8"/>
    </row>
    <row r="136" spans="1:10" hidden="1">
      <c r="A136" s="8"/>
      <c r="B136" s="8"/>
      <c r="H136" s="4"/>
      <c r="J136" s="8"/>
    </row>
    <row r="137" spans="1:10" hidden="1">
      <c r="A137" s="8"/>
      <c r="B137" s="8"/>
      <c r="H137" s="4"/>
      <c r="J137" s="8"/>
    </row>
    <row r="138" spans="1:10" hidden="1">
      <c r="A138" s="8"/>
      <c r="B138" s="8"/>
      <c r="H138" s="4"/>
      <c r="J138" s="8"/>
    </row>
    <row r="139" spans="1:10" hidden="1">
      <c r="A139" s="8"/>
      <c r="B139" s="8"/>
      <c r="H139" s="4"/>
      <c r="J139" s="8"/>
    </row>
    <row r="140" spans="1:10" hidden="1">
      <c r="A140" s="8"/>
      <c r="B140" s="8"/>
      <c r="H140" s="4"/>
      <c r="J140" s="8"/>
    </row>
    <row r="141" spans="1:10" hidden="1">
      <c r="A141" s="8"/>
      <c r="B141" s="8"/>
      <c r="H141" s="4"/>
      <c r="J141" s="8"/>
    </row>
    <row r="142" spans="1:10" hidden="1">
      <c r="A142" s="8"/>
      <c r="B142" s="8"/>
      <c r="H142" s="4"/>
      <c r="J142" s="8"/>
    </row>
    <row r="143" spans="1:10" hidden="1">
      <c r="A143" s="8"/>
      <c r="B143" s="8"/>
      <c r="H143" s="4"/>
      <c r="J143" s="8"/>
    </row>
    <row r="144" spans="1:10" hidden="1">
      <c r="A144" s="8"/>
      <c r="B144" s="8"/>
      <c r="H144" s="4"/>
      <c r="J144" s="8"/>
    </row>
    <row r="145" spans="1:65" hidden="1">
      <c r="A145" s="8"/>
      <c r="B145" s="8"/>
      <c r="H145" s="4"/>
      <c r="J145" s="195">
        <f>AA52+AD52+AG52+AI52+AK52+AM52</f>
        <v>0</v>
      </c>
      <c r="K145" t="s">
        <v>215</v>
      </c>
      <c r="L145">
        <v>2021</v>
      </c>
      <c r="R145" s="110">
        <f t="shared" ref="R145:AS145" si="23">R45+R46+R47+R48+R49+R50</f>
        <v>0</v>
      </c>
      <c r="S145" s="4">
        <f t="shared" si="23"/>
        <v>0</v>
      </c>
      <c r="T145" s="4">
        <f t="shared" si="23"/>
        <v>0</v>
      </c>
      <c r="U145" s="110">
        <f t="shared" si="23"/>
        <v>0</v>
      </c>
      <c r="V145" s="4">
        <f t="shared" si="23"/>
        <v>0</v>
      </c>
      <c r="W145" s="4">
        <f t="shared" si="23"/>
        <v>0</v>
      </c>
      <c r="X145" s="110">
        <f t="shared" si="23"/>
        <v>0</v>
      </c>
      <c r="Y145" s="4">
        <f t="shared" si="23"/>
        <v>0</v>
      </c>
      <c r="Z145" s="4">
        <f t="shared" si="23"/>
        <v>0</v>
      </c>
      <c r="AA145" s="110">
        <f t="shared" si="23"/>
        <v>0</v>
      </c>
      <c r="AB145" s="4">
        <f t="shared" si="23"/>
        <v>0</v>
      </c>
      <c r="AC145" s="4">
        <f t="shared" si="23"/>
        <v>0</v>
      </c>
      <c r="AD145" s="110">
        <f t="shared" si="23"/>
        <v>0</v>
      </c>
      <c r="AE145" s="110"/>
      <c r="AF145" s="4">
        <f t="shared" si="23"/>
        <v>0</v>
      </c>
      <c r="AG145" s="110">
        <f t="shared" si="23"/>
        <v>0</v>
      </c>
      <c r="AH145" s="4">
        <f t="shared" si="23"/>
        <v>0</v>
      </c>
      <c r="AI145" s="110">
        <f t="shared" si="23"/>
        <v>0</v>
      </c>
      <c r="AJ145" s="4">
        <f t="shared" si="23"/>
        <v>0</v>
      </c>
      <c r="AK145" s="110">
        <f t="shared" si="23"/>
        <v>0</v>
      </c>
      <c r="AL145" s="4">
        <f t="shared" si="23"/>
        <v>0</v>
      </c>
      <c r="AM145" s="110">
        <f t="shared" si="23"/>
        <v>0</v>
      </c>
      <c r="AN145" s="4">
        <f t="shared" si="23"/>
        <v>0</v>
      </c>
      <c r="AO145" s="110">
        <f t="shared" si="23"/>
        <v>0</v>
      </c>
      <c r="AP145" s="4">
        <f t="shared" si="23"/>
        <v>0</v>
      </c>
      <c r="AQ145" s="110">
        <f t="shared" si="23"/>
        <v>0</v>
      </c>
      <c r="AR145" s="4">
        <f t="shared" si="23"/>
        <v>0</v>
      </c>
      <c r="AS145" s="110">
        <f t="shared" si="23"/>
        <v>0</v>
      </c>
      <c r="BK145" s="4" t="e">
        <f>BK80-BL80-BM80</f>
        <v>#REF!</v>
      </c>
      <c r="BM145" s="169" t="e">
        <f>BL80+BM80</f>
        <v>#REF!</v>
      </c>
    </row>
    <row r="146" spans="1:65" hidden="1">
      <c r="A146" s="8"/>
      <c r="B146" s="8"/>
      <c r="H146" s="165">
        <f>J146-I146</f>
        <v>-417489.18999999994</v>
      </c>
      <c r="I146" s="170">
        <v>781373.85</v>
      </c>
      <c r="J146" s="195">
        <f>AD67+AG67+AI67+AK67+AM67+AO67+AQ67+AS67</f>
        <v>363884.66000000003</v>
      </c>
      <c r="K146" t="s">
        <v>216</v>
      </c>
      <c r="L146">
        <v>2022</v>
      </c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BK146" t="e">
        <f>BK65+BK64+BK63+BK52+BK51+BK50+BK49+BK48+BK47+BK46+BK45+BK31+BK30+BK29+BK28+#REF!+#REF!+BK27+BK26+#REF!+#REF!+BK25+BK24+BK23+BK22+BK21+BK20+#REF!+#REF!+#REF!+#REF!</f>
        <v>#REF!</v>
      </c>
    </row>
    <row r="147" spans="1:65" hidden="1">
      <c r="A147" s="8"/>
      <c r="B147" s="8"/>
      <c r="H147" s="4"/>
      <c r="J147" s="195">
        <f>K55</f>
        <v>0</v>
      </c>
      <c r="K147" t="s">
        <v>217</v>
      </c>
      <c r="L147">
        <v>2021</v>
      </c>
      <c r="W147" s="4">
        <f>W45+W46</f>
        <v>0</v>
      </c>
      <c r="BK147">
        <f>BK50+BK49+BK48</f>
        <v>13249</v>
      </c>
    </row>
    <row r="148" spans="1:65" hidden="1">
      <c r="A148" s="8"/>
      <c r="B148" s="8"/>
      <c r="H148" s="4"/>
      <c r="J148" s="195">
        <f>AA63+AD63+AG63+AI63+AK63+AM63+AO63+AQ63+AS63</f>
        <v>456475.38000000006</v>
      </c>
      <c r="K148" t="s">
        <v>218</v>
      </c>
      <c r="L148">
        <v>2022</v>
      </c>
      <c r="AB148" s="4">
        <f>U145+R145+X145+AA145+AD145+AG145+AI145+AK145+AM145+AO145+AQ145+AS145</f>
        <v>0</v>
      </c>
      <c r="BK148">
        <f>BK52+BK63+BK64</f>
        <v>23438</v>
      </c>
    </row>
    <row r="149" spans="1:65" hidden="1">
      <c r="A149" s="8"/>
      <c r="B149" s="8"/>
      <c r="H149" s="4"/>
      <c r="J149" s="195">
        <f>AA53+AD53+AG53+AI53+AK53+AM53+AO53+AQ53+AS53</f>
        <v>0</v>
      </c>
      <c r="K149" t="s">
        <v>63</v>
      </c>
      <c r="L149">
        <v>2021</v>
      </c>
      <c r="V149" s="4">
        <f>Z54+AC54+AF54+AH54+AJ54+AL54+AN54+AP54+AR54+AT54</f>
        <v>0</v>
      </c>
      <c r="X149" s="152">
        <f>X62+X61+X60+X58+X57</f>
        <v>0</v>
      </c>
      <c r="Y149" s="152">
        <f t="shared" ref="Y149:AX149" si="24">Y62+Y61+Y60+Y58+Y57</f>
        <v>0</v>
      </c>
      <c r="Z149" s="152">
        <f t="shared" si="24"/>
        <v>0</v>
      </c>
      <c r="AA149" s="152">
        <f t="shared" si="24"/>
        <v>0</v>
      </c>
      <c r="AB149" s="152">
        <f t="shared" si="24"/>
        <v>0</v>
      </c>
      <c r="AC149" s="152">
        <f t="shared" si="24"/>
        <v>0</v>
      </c>
      <c r="AD149" s="152">
        <f t="shared" si="24"/>
        <v>0</v>
      </c>
      <c r="AE149" s="152"/>
      <c r="AF149" s="152">
        <f t="shared" si="24"/>
        <v>0</v>
      </c>
      <c r="AG149" s="152">
        <f t="shared" si="24"/>
        <v>0</v>
      </c>
      <c r="AH149" s="152">
        <f t="shared" si="24"/>
        <v>0</v>
      </c>
      <c r="AI149" s="152">
        <f t="shared" si="24"/>
        <v>0</v>
      </c>
      <c r="AJ149" s="152">
        <f t="shared" si="24"/>
        <v>0</v>
      </c>
      <c r="AK149" s="152">
        <f t="shared" si="24"/>
        <v>0</v>
      </c>
      <c r="AL149" s="152">
        <f t="shared" si="24"/>
        <v>0</v>
      </c>
      <c r="AM149" s="152">
        <f t="shared" si="24"/>
        <v>0</v>
      </c>
      <c r="AN149" s="152">
        <f t="shared" si="24"/>
        <v>0</v>
      </c>
      <c r="AO149" s="152">
        <f t="shared" si="24"/>
        <v>0</v>
      </c>
      <c r="AP149" s="152">
        <f t="shared" si="24"/>
        <v>0</v>
      </c>
      <c r="AQ149" s="152">
        <f t="shared" si="24"/>
        <v>0</v>
      </c>
      <c r="AR149" s="152">
        <f t="shared" si="24"/>
        <v>0</v>
      </c>
      <c r="AS149" s="152">
        <f t="shared" si="24"/>
        <v>0</v>
      </c>
      <c r="AT149" s="152">
        <f t="shared" si="24"/>
        <v>0</v>
      </c>
      <c r="AU149" s="152">
        <f t="shared" si="24"/>
        <v>0</v>
      </c>
      <c r="AV149" s="152">
        <f t="shared" si="24"/>
        <v>0</v>
      </c>
      <c r="AW149" s="152">
        <f t="shared" si="24"/>
        <v>0</v>
      </c>
      <c r="AX149" s="152">
        <f t="shared" si="24"/>
        <v>0</v>
      </c>
      <c r="AY149" s="152"/>
      <c r="AZ149" s="152"/>
      <c r="BA149" s="152"/>
      <c r="BB149" s="152"/>
      <c r="BC149" s="152"/>
      <c r="BD149" s="152"/>
    </row>
    <row r="150" spans="1:65" hidden="1">
      <c r="A150" s="8"/>
      <c r="B150" s="8"/>
      <c r="H150" s="4"/>
      <c r="J150" s="195">
        <f>X54+AA54+AD54+AG54+AI54+AK54+AM54+AO54+AQ54+AS54</f>
        <v>0</v>
      </c>
      <c r="K150" t="s">
        <v>74</v>
      </c>
      <c r="L150">
        <v>2021</v>
      </c>
      <c r="W150" s="152">
        <f>X149+AA149+AD149+AG149+AI149+AK149+AM149+AO149+AQ149+AS149+AU149+AW149</f>
        <v>0</v>
      </c>
    </row>
    <row r="151" spans="1:65" hidden="1">
      <c r="A151" s="8"/>
      <c r="B151" s="8"/>
      <c r="H151" s="4"/>
      <c r="J151" s="195">
        <f>K66</f>
        <v>0</v>
      </c>
      <c r="K151" t="s">
        <v>215</v>
      </c>
      <c r="L151">
        <v>2022</v>
      </c>
    </row>
    <row r="152" spans="1:65" hidden="1">
      <c r="A152" s="8"/>
      <c r="B152" s="8"/>
      <c r="H152" s="4"/>
      <c r="J152" s="8"/>
      <c r="K152" t="s">
        <v>219</v>
      </c>
      <c r="L152">
        <v>2021</v>
      </c>
    </row>
    <row r="153" spans="1:65" hidden="1">
      <c r="A153" s="8"/>
      <c r="B153" s="8"/>
      <c r="H153" s="4"/>
      <c r="J153" s="195">
        <f>J69</f>
        <v>499999.99999999988</v>
      </c>
      <c r="K153" t="s">
        <v>220</v>
      </c>
      <c r="L153">
        <v>2022</v>
      </c>
    </row>
    <row r="154" spans="1:65" hidden="1">
      <c r="A154" s="8"/>
      <c r="B154" s="8"/>
      <c r="H154" s="4"/>
      <c r="J154" s="8">
        <v>1500000</v>
      </c>
      <c r="K154" s="171" t="s">
        <v>221</v>
      </c>
      <c r="L154">
        <v>2022</v>
      </c>
    </row>
    <row r="155" spans="1:65" hidden="1">
      <c r="A155" s="8"/>
      <c r="B155" s="8"/>
      <c r="H155" s="4"/>
      <c r="J155" s="195">
        <f>J70</f>
        <v>622480.32999999996</v>
      </c>
      <c r="K155" t="s">
        <v>220</v>
      </c>
      <c r="L155">
        <v>2023</v>
      </c>
    </row>
    <row r="156" spans="1:65" hidden="1">
      <c r="A156" s="8"/>
      <c r="B156" s="8"/>
      <c r="H156" s="4"/>
      <c r="J156" s="8">
        <v>629393.41</v>
      </c>
      <c r="K156" s="171" t="s">
        <v>221</v>
      </c>
      <c r="L156">
        <v>2023</v>
      </c>
    </row>
    <row r="157" spans="1:65" hidden="1">
      <c r="A157" s="8"/>
      <c r="B157" s="8"/>
      <c r="H157" s="4"/>
      <c r="J157" s="8"/>
      <c r="K157" s="171"/>
    </row>
    <row r="158" spans="1:65" hidden="1">
      <c r="A158" s="8"/>
      <c r="B158" s="8"/>
      <c r="H158" s="4"/>
      <c r="J158" s="195">
        <f>J145+J147+J149+J150</f>
        <v>0</v>
      </c>
      <c r="L158" s="4">
        <f>J153+J151+J148+J146+J154</f>
        <v>2820360.04</v>
      </c>
    </row>
    <row r="159" spans="1:65" hidden="1">
      <c r="A159" s="8"/>
      <c r="B159" s="8"/>
      <c r="H159" s="4"/>
      <c r="J159" s="8">
        <v>428571.43</v>
      </c>
      <c r="K159" t="s">
        <v>218</v>
      </c>
      <c r="L159" s="4">
        <f>J155+J156</f>
        <v>1251873.74</v>
      </c>
    </row>
    <row r="160" spans="1:65" hidden="1">
      <c r="A160" s="8"/>
      <c r="B160" s="8"/>
      <c r="H160" s="4"/>
      <c r="J160" s="195">
        <f>J158+J159</f>
        <v>428571.43</v>
      </c>
    </row>
    <row r="161" spans="1:12" hidden="1">
      <c r="A161" s="8"/>
      <c r="B161" s="8"/>
      <c r="H161" s="4"/>
      <c r="J161" s="8"/>
      <c r="L161" s="4"/>
    </row>
    <row r="162" spans="1:12" hidden="1">
      <c r="A162" s="8"/>
      <c r="B162" s="8"/>
      <c r="H162" s="4"/>
      <c r="J162" s="8"/>
    </row>
    <row r="163" spans="1:12" hidden="1">
      <c r="A163" s="8"/>
      <c r="B163" s="8"/>
      <c r="H163" s="4"/>
      <c r="J163" s="195">
        <f>K56+K55+K54+K53+K52</f>
        <v>0</v>
      </c>
    </row>
    <row r="164" spans="1:12" hidden="1">
      <c r="A164" s="8"/>
      <c r="B164" s="8"/>
      <c r="H164" s="4"/>
      <c r="J164" s="8">
        <v>2326515.9900000002</v>
      </c>
    </row>
    <row r="165" spans="1:12" hidden="1">
      <c r="A165" s="8"/>
      <c r="B165" s="8"/>
      <c r="H165" s="4"/>
      <c r="J165" s="195">
        <f>J163-J164</f>
        <v>-2326515.9900000002</v>
      </c>
    </row>
    <row r="166" spans="1:12" hidden="1">
      <c r="A166" s="8"/>
      <c r="B166" s="8"/>
      <c r="H166" s="4"/>
      <c r="J166" s="8"/>
    </row>
    <row r="167" spans="1:12" hidden="1">
      <c r="A167" s="8"/>
      <c r="B167" s="8"/>
      <c r="H167" s="4"/>
      <c r="J167" s="8"/>
    </row>
    <row r="168" spans="1:12" ht="15.75" thickBot="1">
      <c r="A168" s="8"/>
      <c r="B168" s="8"/>
      <c r="H168" s="185">
        <f>SUM(H12:H29)</f>
        <v>30781641.460000001</v>
      </c>
      <c r="J168" s="8"/>
    </row>
    <row r="169" spans="1:12">
      <c r="A169" s="8"/>
      <c r="B169" s="8"/>
      <c r="J169" s="8"/>
    </row>
    <row r="170" spans="1:12">
      <c r="A170" s="8"/>
      <c r="B170" s="8"/>
      <c r="J170" s="8"/>
    </row>
    <row r="171" spans="1:12">
      <c r="A171" s="8"/>
      <c r="B171" s="8"/>
      <c r="J171" s="8"/>
    </row>
    <row r="172" spans="1:12">
      <c r="A172" s="8"/>
      <c r="B172" s="8"/>
      <c r="J172" s="8"/>
    </row>
    <row r="173" spans="1:12">
      <c r="A173" s="8"/>
      <c r="B173" s="8"/>
      <c r="J173" s="8"/>
    </row>
    <row r="174" spans="1:12">
      <c r="A174" s="8"/>
      <c r="B174" s="8"/>
      <c r="J174" s="8"/>
    </row>
    <row r="175" spans="1:12">
      <c r="A175" s="8"/>
      <c r="B175" s="8"/>
      <c r="J175" s="8"/>
    </row>
  </sheetData>
  <mergeCells count="5">
    <mergeCell ref="M10:AT10"/>
    <mergeCell ref="BH10:CC10"/>
    <mergeCell ref="A9:J9"/>
    <mergeCell ref="A37:B37"/>
    <mergeCell ref="J40:J44"/>
  </mergeCells>
  <pageMargins left="0.70866141732283472" right="0.70866141732283472" top="0.74803149606299213" bottom="0.74803149606299213" header="0.31496062992125984" footer="0.31496062992125984"/>
  <pageSetup paperSize="8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kredyty na 2023</vt:lpstr>
      <vt:lpstr>'kredyty na 2023'!Obszar_wydruku</vt:lpstr>
      <vt:lpstr>'kredyty na 2023'!Tytuły_wydruku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 Inc.</cp:lastModifiedBy>
  <cp:lastPrinted>2023-04-03T07:50:28Z</cp:lastPrinted>
  <dcterms:created xsi:type="dcterms:W3CDTF">2022-03-08T11:50:36Z</dcterms:created>
  <dcterms:modified xsi:type="dcterms:W3CDTF">2023-04-03T08:06:38Z</dcterms:modified>
</cp:coreProperties>
</file>